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s\Desktop\"/>
    </mc:Choice>
  </mc:AlternateContent>
  <xr:revisionPtr revIDLastSave="0" documentId="8_{D529069F-0ED7-43FB-BEDD-B278534EA4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szt zatrudnienia - SC" sheetId="2" r:id="rId1"/>
  </sheets>
  <definedNames>
    <definedName name="_xlnm.Print_Area" localSheetId="0">'Koszt zatrudnienia - SC'!$A$1:$O$41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G8" i="2" s="1"/>
  <c r="F26" i="2"/>
  <c r="K25" i="2"/>
  <c r="L25" i="2"/>
  <c r="M25" i="2"/>
  <c r="N25" i="2"/>
  <c r="O25" i="2"/>
  <c r="J25" i="2"/>
  <c r="C12" i="2" l="1"/>
  <c r="F12" i="2" s="1"/>
  <c r="G12" i="2" s="1"/>
  <c r="F3" i="2" l="1"/>
  <c r="C19" i="2" l="1"/>
  <c r="G26" i="2" l="1"/>
  <c r="F13" i="2"/>
  <c r="C9" i="2"/>
  <c r="F9" i="2" s="1"/>
  <c r="E4" i="2"/>
  <c r="E5" i="2" s="1"/>
  <c r="E6" i="2" s="1"/>
  <c r="E7" i="2" s="1"/>
  <c r="E8" i="2" s="1"/>
  <c r="E9" i="2" s="1"/>
  <c r="E10" i="2" s="1"/>
  <c r="E11" i="2" s="1"/>
  <c r="E12" i="2" s="1"/>
  <c r="E14" i="2" s="1"/>
  <c r="F5" i="2"/>
  <c r="H8" i="2" l="1"/>
  <c r="I8" i="2" s="1"/>
  <c r="J8" i="2" s="1"/>
  <c r="K8" i="2" s="1"/>
  <c r="L8" i="2" s="1"/>
  <c r="M8" i="2" s="1"/>
  <c r="N8" i="2" s="1"/>
  <c r="O8" i="2" s="1"/>
  <c r="E15" i="2"/>
  <c r="E16" i="2" s="1"/>
  <c r="E17" i="2" s="1"/>
  <c r="E18" i="2" s="1"/>
  <c r="E19" i="2" s="1"/>
  <c r="F10" i="2"/>
  <c r="H26" i="2"/>
  <c r="G3" i="2"/>
  <c r="F6" i="2"/>
  <c r="G4" i="2"/>
  <c r="F7" i="2"/>
  <c r="F15" i="2" l="1"/>
  <c r="G15" i="2"/>
  <c r="H15" i="2" s="1"/>
  <c r="I15" i="2" s="1"/>
  <c r="J15" i="2" s="1"/>
  <c r="K15" i="2" s="1"/>
  <c r="L15" i="2" s="1"/>
  <c r="M15" i="2" s="1"/>
  <c r="N15" i="2" s="1"/>
  <c r="O15" i="2" s="1"/>
  <c r="H4" i="2"/>
  <c r="G6" i="2"/>
  <c r="G7" i="2"/>
  <c r="I26" i="2"/>
  <c r="H3" i="2"/>
  <c r="G5" i="2"/>
  <c r="F11" i="2"/>
  <c r="H5" i="2" l="1"/>
  <c r="H7" i="2"/>
  <c r="H6" i="2"/>
  <c r="I4" i="2"/>
  <c r="G16" i="2"/>
  <c r="H16" i="2" s="1"/>
  <c r="I16" i="2" s="1"/>
  <c r="J16" i="2" s="1"/>
  <c r="K16" i="2" s="1"/>
  <c r="L16" i="2" s="1"/>
  <c r="M16" i="2" s="1"/>
  <c r="N16" i="2" s="1"/>
  <c r="O16" i="2" s="1"/>
  <c r="F16" i="2"/>
  <c r="J26" i="2"/>
  <c r="I3" i="2"/>
  <c r="G11" i="2"/>
  <c r="I5" i="2" l="1"/>
  <c r="I7" i="2"/>
  <c r="I6" i="2"/>
  <c r="J4" i="2"/>
  <c r="H12" i="2"/>
  <c r="I12" i="2" s="1"/>
  <c r="J12" i="2" s="1"/>
  <c r="K12" i="2" s="1"/>
  <c r="L12" i="2" s="1"/>
  <c r="M12" i="2" s="1"/>
  <c r="N12" i="2" s="1"/>
  <c r="O12" i="2" s="1"/>
  <c r="G17" i="2"/>
  <c r="H17" i="2" s="1"/>
  <c r="I17" i="2" s="1"/>
  <c r="J17" i="2" s="1"/>
  <c r="K17" i="2" s="1"/>
  <c r="L17" i="2" s="1"/>
  <c r="M17" i="2" s="1"/>
  <c r="N17" i="2" s="1"/>
  <c r="O17" i="2" s="1"/>
  <c r="F17" i="2"/>
  <c r="H11" i="2"/>
  <c r="F14" i="2"/>
  <c r="K26" i="2"/>
  <c r="J3" i="2"/>
  <c r="J7" i="2" l="1"/>
  <c r="J6" i="2"/>
  <c r="K4" i="2"/>
  <c r="J5" i="2"/>
  <c r="F18" i="2"/>
  <c r="G18" i="2"/>
  <c r="H18" i="2" s="1"/>
  <c r="I18" i="2" s="1"/>
  <c r="J18" i="2" s="1"/>
  <c r="K18" i="2" s="1"/>
  <c r="L18" i="2" s="1"/>
  <c r="M18" i="2" s="1"/>
  <c r="N18" i="2" s="1"/>
  <c r="O18" i="2" s="1"/>
  <c r="L26" i="2"/>
  <c r="K3" i="2"/>
  <c r="I11" i="2"/>
  <c r="J11" i="2" s="1"/>
  <c r="K11" i="2" s="1"/>
  <c r="L11" i="2" s="1"/>
  <c r="M11" i="2" s="1"/>
  <c r="N11" i="2" s="1"/>
  <c r="O11" i="2" s="1"/>
  <c r="G14" i="2"/>
  <c r="K7" i="2" l="1"/>
  <c r="K6" i="2"/>
  <c r="L4" i="2"/>
  <c r="K5" i="2"/>
  <c r="M26" i="2"/>
  <c r="L3" i="2"/>
  <c r="H14" i="2"/>
  <c r="L6" i="2" l="1"/>
  <c r="M4" i="2"/>
  <c r="L7" i="2"/>
  <c r="L5" i="2"/>
  <c r="N26" i="2"/>
  <c r="M3" i="2"/>
  <c r="I14" i="2"/>
  <c r="N4" i="2" l="1"/>
  <c r="M7" i="2"/>
  <c r="M6" i="2"/>
  <c r="M5" i="2"/>
  <c r="F19" i="2"/>
  <c r="J14" i="2"/>
  <c r="O26" i="2"/>
  <c r="O3" i="2" s="1"/>
  <c r="N3" i="2"/>
  <c r="O4" i="2" l="1"/>
  <c r="O5" i="2" s="1"/>
  <c r="N6" i="2"/>
  <c r="N7" i="2"/>
  <c r="N5" i="2"/>
  <c r="K14" i="2"/>
  <c r="G19" i="2"/>
  <c r="G20" i="2" s="1"/>
  <c r="F20" i="2"/>
  <c r="O6" i="2" l="1"/>
  <c r="O7" i="2"/>
  <c r="H19" i="2"/>
  <c r="L14" i="2"/>
  <c r="M14" i="2" l="1"/>
  <c r="I19" i="2"/>
  <c r="H20" i="2"/>
  <c r="N14" i="2" l="1"/>
  <c r="J19" i="2"/>
  <c r="I20" i="2"/>
  <c r="O14" i="2" l="1"/>
  <c r="K19" i="2"/>
  <c r="J20" i="2"/>
  <c r="L19" i="2" l="1"/>
  <c r="K20" i="2"/>
  <c r="M19" i="2" l="1"/>
  <c r="L20" i="2"/>
  <c r="N19" i="2" l="1"/>
  <c r="M20" i="2"/>
  <c r="O19" i="2" l="1"/>
  <c r="O20" i="2" s="1"/>
  <c r="N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Kucharska Natalia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paragraf 4010 obejmuje pracowników zatrudnionych poza korpusem służby cywilnej, paragraf 4020 obejmuje pracowników zatrudnionych w korpusie służby cywilnej</t>
        </r>
      </text>
    </comment>
  </commentList>
</comments>
</file>

<file path=xl/sharedStrings.xml><?xml version="1.0" encoding="utf-8"?>
<sst xmlns="http://schemas.openxmlformats.org/spreadsheetml/2006/main" count="40" uniqueCount="31">
  <si>
    <t>Inflacja (CPI)</t>
  </si>
  <si>
    <t>Nominalna dynamika płac</t>
  </si>
  <si>
    <t>Paragraf</t>
  </si>
  <si>
    <t xml:space="preserve">Nazwa </t>
  </si>
  <si>
    <t>%, zł</t>
  </si>
  <si>
    <t xml:space="preserve">wynagrodzenie zasadnicze </t>
  </si>
  <si>
    <t>DWR</t>
  </si>
  <si>
    <t>ZUS</t>
  </si>
  <si>
    <t>FP</t>
  </si>
  <si>
    <t>PPK</t>
  </si>
  <si>
    <t>ZFŚS</t>
  </si>
  <si>
    <t>biurko, fotel, szafa, regał, ar.biurowe, wieszak - wydatek jednorazowy</t>
  </si>
  <si>
    <t xml:space="preserve">laptop,stacja dokująca, monitor, mysz, klawiatura -  wydatki jednorazowe </t>
  </si>
  <si>
    <t>oprogramowanie</t>
  </si>
  <si>
    <t>odpady komunalne</t>
  </si>
  <si>
    <t>podatek od nieruchomości</t>
  </si>
  <si>
    <t>remonty</t>
  </si>
  <si>
    <t>delegacje krajowe</t>
  </si>
  <si>
    <t>delegacje zagraniczne</t>
  </si>
  <si>
    <t>świadczenia na rzecz osób fizycznych</t>
  </si>
  <si>
    <t>liczba etatów</t>
  </si>
  <si>
    <t>liczba m-cy</t>
  </si>
  <si>
    <t>SUMA</t>
  </si>
  <si>
    <t>kwota</t>
  </si>
  <si>
    <t>Dane z zał nr 1 i 2 Wytycznych</t>
  </si>
  <si>
    <t>Wynajem powierzchni PLUS koszty utrzymania: energia, ciepło, sprzątanie, prace gospodarcze, ochrona, etc.</t>
  </si>
  <si>
    <t>4000/4400</t>
  </si>
  <si>
    <t>badania medycyny pracy/szkolenie BHP</t>
  </si>
  <si>
    <t>Wskaźnik przyjęte zgodnie z  "Wytycznymi dotyczącymi stosowania jednolitych wskaźników makroekonomicznych będących podstawą oszacowania skutków finansowych projektowanych ustaw - Aktualizacja maj 2025 r. (https://www.gov.pl/web/finanse/wytyczne-sytuacja-makroekonomiczna )</t>
  </si>
  <si>
    <t>4010 / 4020</t>
  </si>
  <si>
    <t>Wynagrodzenie przyjęte w wysokości 3,5 kwoty bazowej + 20 lat wysługi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</si>
</sst>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zł-415]_-;\-* #,##0.00\ [$zł-415]_-;_-* &quot;-&quot;??\ [$zł-415]_-;_-@_-"/>
    <numFmt numFmtId="165" formatCode="0.00_ ;[Red]\-0.00\ "/>
  </numFmts>
  <fonts count="15" x14ac:knownFonts="1"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charset val="238"/>
      <scheme val="minor"/>
    </font>
    <font>
      <sz val="11"/>
      <name val="Aptos Narrow"/>
      <family val="2"/>
      <charset val="238"/>
      <scheme val="minor"/>
    </font>
    <font>
      <strike/>
      <sz val="11"/>
      <color theme="1"/>
      <name val="Aptos Narrow"/>
      <family val="2"/>
      <charset val="238"/>
      <scheme val="minor"/>
    </font>
    <font>
      <strike/>
      <sz val="10"/>
      <color theme="1"/>
      <name val="Aptos Narrow"/>
      <family val="2"/>
      <charset val="238"/>
      <scheme val="minor"/>
    </font>
    <font>
      <sz val="1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6" fillId="0" borderId="0" xfId="0" applyFont="1"/>
    <xf numFmtId="0" fontId="0" fillId="3" borderId="1" xfId="0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4" borderId="4" xfId="0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left" vertical="center" wrapText="1"/>
    </xf>
    <xf numFmtId="1" fontId="7" fillId="4" borderId="10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4" fontId="8" fillId="5" borderId="12" xfId="0" applyNumberFormat="1" applyFont="1" applyFill="1" applyBorder="1" applyAlignment="1">
      <alignment horizontal="left" vertical="center" wrapText="1"/>
    </xf>
    <xf numFmtId="164" fontId="5" fillId="5" borderId="11" xfId="0" applyNumberFormat="1" applyFont="1" applyFill="1" applyBorder="1" applyAlignment="1">
      <alignment horizontal="right" vertical="center"/>
    </xf>
    <xf numFmtId="4" fontId="3" fillId="0" borderId="9" xfId="0" applyNumberFormat="1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right" vertical="center"/>
    </xf>
    <xf numFmtId="4" fontId="6" fillId="6" borderId="1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164" fontId="0" fillId="0" borderId="0" xfId="0" applyNumberFormat="1"/>
    <xf numFmtId="2" fontId="0" fillId="10" borderId="1" xfId="0" applyNumberFormat="1" applyFill="1" applyBorder="1"/>
    <xf numFmtId="2" fontId="11" fillId="10" borderId="1" xfId="0" applyNumberFormat="1" applyFont="1" applyFill="1" applyBorder="1"/>
    <xf numFmtId="165" fontId="0" fillId="8" borderId="1" xfId="0" applyNumberFormat="1" applyFill="1" applyBorder="1"/>
    <xf numFmtId="165" fontId="0" fillId="0" borderId="1" xfId="0" applyNumberFormat="1" applyBorder="1"/>
    <xf numFmtId="165" fontId="12" fillId="0" borderId="1" xfId="0" applyNumberFormat="1" applyFont="1" applyBorder="1"/>
    <xf numFmtId="164" fontId="1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4" fontId="9" fillId="5" borderId="16" xfId="0" applyNumberFormat="1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5" fillId="5" borderId="19" xfId="0" applyFont="1" applyFill="1" applyBorder="1" applyAlignment="1">
      <alignment horizontal="right" vertical="center"/>
    </xf>
    <xf numFmtId="164" fontId="3" fillId="0" borderId="20" xfId="0" applyNumberFormat="1" applyFont="1" applyBorder="1" applyAlignment="1">
      <alignment horizontal="right" vertical="center"/>
    </xf>
    <xf numFmtId="164" fontId="3" fillId="0" borderId="21" xfId="0" applyNumberFormat="1" applyFont="1" applyBorder="1" applyAlignment="1">
      <alignment horizontal="right" vertical="center"/>
    </xf>
    <xf numFmtId="164" fontId="3" fillId="0" borderId="2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164" fontId="5" fillId="5" borderId="23" xfId="0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4" fillId="8" borderId="2" xfId="0" applyFont="1" applyFill="1" applyBorder="1" applyAlignment="1">
      <alignment horizontal="center" vertical="top" wrapText="1"/>
    </xf>
    <xf numFmtId="0" fontId="10" fillId="8" borderId="13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view="pageBreakPreview" zoomScale="80" zoomScaleNormal="80" zoomScaleSheetLayoutView="80" workbookViewId="0">
      <selection activeCell="E2" sqref="E2"/>
    </sheetView>
  </sheetViews>
  <sheetFormatPr defaultRowHeight="14.4" x14ac:dyDescent="0.3"/>
  <cols>
    <col min="1" max="1" width="11" bestFit="1" customWidth="1"/>
    <col min="2" max="2" width="23" customWidth="1"/>
    <col min="3" max="3" width="13.44140625" bestFit="1" customWidth="1"/>
    <col min="4" max="4" width="12.88671875" bestFit="1" customWidth="1"/>
    <col min="5" max="5" width="17.5546875" customWidth="1"/>
    <col min="6" max="6" width="15" customWidth="1"/>
    <col min="7" max="8" width="15.5546875" customWidth="1"/>
    <col min="9" max="15" width="15.5546875" bestFit="1" customWidth="1"/>
    <col min="16" max="16" width="14.5546875" bestFit="1" customWidth="1"/>
  </cols>
  <sheetData>
    <row r="1" spans="1:16" s="1" customFormat="1" ht="18.75" customHeight="1" x14ac:dyDescent="0.3">
      <c r="A1" s="49" t="s">
        <v>2</v>
      </c>
      <c r="B1" s="51" t="s">
        <v>3</v>
      </c>
      <c r="C1" s="53" t="s">
        <v>4</v>
      </c>
      <c r="D1" s="55" t="s">
        <v>20</v>
      </c>
      <c r="E1" s="57">
        <v>2026</v>
      </c>
      <c r="F1" s="58"/>
      <c r="G1" s="7">
        <v>2027</v>
      </c>
      <c r="H1" s="7">
        <v>2028</v>
      </c>
      <c r="I1" s="7">
        <v>2029</v>
      </c>
      <c r="J1" s="7">
        <v>2030</v>
      </c>
      <c r="K1" s="7">
        <v>2031</v>
      </c>
      <c r="L1" s="7">
        <v>2032</v>
      </c>
      <c r="M1" s="7">
        <v>2033</v>
      </c>
      <c r="N1" s="7">
        <v>2034</v>
      </c>
      <c r="O1" s="7">
        <v>2035</v>
      </c>
    </row>
    <row r="2" spans="1:16" s="1" customFormat="1" ht="17.25" customHeight="1" thickBot="1" x14ac:dyDescent="0.35">
      <c r="A2" s="50"/>
      <c r="B2" s="52"/>
      <c r="C2" s="54"/>
      <c r="D2" s="56"/>
      <c r="E2" s="10" t="s">
        <v>21</v>
      </c>
      <c r="F2" s="10" t="s">
        <v>23</v>
      </c>
      <c r="G2" s="10" t="s">
        <v>23</v>
      </c>
      <c r="H2" s="10" t="s">
        <v>23</v>
      </c>
      <c r="I2" s="10" t="s">
        <v>23</v>
      </c>
      <c r="J2" s="10" t="s">
        <v>23</v>
      </c>
      <c r="K2" s="10" t="s">
        <v>23</v>
      </c>
      <c r="L2" s="10" t="s">
        <v>23</v>
      </c>
      <c r="M2" s="10" t="s">
        <v>23</v>
      </c>
      <c r="N2" s="10" t="s">
        <v>23</v>
      </c>
      <c r="O2" s="10" t="s">
        <v>23</v>
      </c>
    </row>
    <row r="3" spans="1:16" ht="17.25" customHeight="1" x14ac:dyDescent="0.3">
      <c r="A3" s="42" t="s">
        <v>29</v>
      </c>
      <c r="B3" s="14" t="s">
        <v>5</v>
      </c>
      <c r="C3" s="15"/>
      <c r="D3" s="30">
        <v>24.1</v>
      </c>
      <c r="E3" s="15">
        <v>0</v>
      </c>
      <c r="F3" s="16">
        <f>F26*($D3-(10/2))*12</f>
        <v>2736563.2464239998</v>
      </c>
      <c r="G3" s="16">
        <f t="shared" ref="G3:O3" si="0">G26*$D3*12</f>
        <v>3691193.992738056</v>
      </c>
      <c r="H3" s="16">
        <f t="shared" si="0"/>
        <v>3927430.4082732922</v>
      </c>
      <c r="I3" s="16">
        <f t="shared" si="0"/>
        <v>4167003.6631779624</v>
      </c>
      <c r="J3" s="16">
        <f t="shared" si="0"/>
        <v>4417023.88296864</v>
      </c>
      <c r="K3" s="16">
        <f t="shared" si="0"/>
        <v>4677628.2920637894</v>
      </c>
      <c r="L3" s="16">
        <f t="shared" si="0"/>
        <v>4948930.7330034897</v>
      </c>
      <c r="M3" s="16">
        <f t="shared" si="0"/>
        <v>5231019.7847846886</v>
      </c>
      <c r="N3" s="16">
        <f t="shared" si="0"/>
        <v>5518725.8729478465</v>
      </c>
      <c r="O3" s="35">
        <f t="shared" si="0"/>
        <v>5816737.0700870305</v>
      </c>
      <c r="P3" s="23"/>
    </row>
    <row r="4" spans="1:16" ht="17.25" customHeight="1" x14ac:dyDescent="0.3">
      <c r="A4" s="43">
        <v>4040</v>
      </c>
      <c r="B4" s="8" t="s">
        <v>6</v>
      </c>
      <c r="C4" s="3">
        <v>8.5000000000000006E-2</v>
      </c>
      <c r="D4" s="6">
        <v>24.1</v>
      </c>
      <c r="E4" s="6">
        <f>E3</f>
        <v>0</v>
      </c>
      <c r="F4" s="4">
        <v>0</v>
      </c>
      <c r="G4" s="4">
        <f>F3*$C$4</f>
        <v>232607.87594604</v>
      </c>
      <c r="H4" s="4">
        <f t="shared" ref="H4" si="1">G3*$C$4</f>
        <v>313751.48938273476</v>
      </c>
      <c r="I4" s="4">
        <f t="shared" ref="I4" si="2">H3*$C$4</f>
        <v>333831.58470322989</v>
      </c>
      <c r="J4" s="4">
        <f t="shared" ref="J4" si="3">I3*$C$4</f>
        <v>354195.31137012684</v>
      </c>
      <c r="K4" s="4">
        <f t="shared" ref="K4" si="4">J3*$C$4</f>
        <v>375447.03005233442</v>
      </c>
      <c r="L4" s="4">
        <f t="shared" ref="L4" si="5">K3*$C$4</f>
        <v>397598.40482542216</v>
      </c>
      <c r="M4" s="4">
        <f t="shared" ref="M4" si="6">L3*$C$4</f>
        <v>420659.11230529664</v>
      </c>
      <c r="N4" s="4">
        <f t="shared" ref="N4" si="7">M3*$C$4</f>
        <v>444636.68170669855</v>
      </c>
      <c r="O4" s="36">
        <f t="shared" ref="O4" si="8">N3*$C$4</f>
        <v>469091.69920056697</v>
      </c>
    </row>
    <row r="5" spans="1:16" ht="17.25" customHeight="1" x14ac:dyDescent="0.3">
      <c r="A5" s="43">
        <v>4110</v>
      </c>
      <c r="B5" s="8" t="s">
        <v>7</v>
      </c>
      <c r="C5" s="3">
        <v>0.1719</v>
      </c>
      <c r="D5" s="6">
        <v>24.1</v>
      </c>
      <c r="E5" s="6">
        <f t="shared" ref="E5:E18" si="9">E4</f>
        <v>0</v>
      </c>
      <c r="F5" s="4">
        <f>$F$3*C5</f>
        <v>470415.22206028557</v>
      </c>
      <c r="G5" s="4">
        <f>(G4+G3)*$C$5</f>
        <v>674501.54122679611</v>
      </c>
      <c r="H5" s="4">
        <f t="shared" ref="H5:O5" si="10">(H4+H3)*$C$5</f>
        <v>729059.16820707102</v>
      </c>
      <c r="I5" s="4">
        <f t="shared" si="10"/>
        <v>773693.57911077701</v>
      </c>
      <c r="J5" s="4">
        <f t="shared" si="10"/>
        <v>820172.57950683404</v>
      </c>
      <c r="K5" s="4">
        <f t="shared" si="10"/>
        <v>868623.64787176158</v>
      </c>
      <c r="L5" s="4">
        <f t="shared" si="10"/>
        <v>919068.35879278986</v>
      </c>
      <c r="M5" s="4">
        <f t="shared" si="10"/>
        <v>971523.60240976838</v>
      </c>
      <c r="N5" s="4">
        <f t="shared" si="10"/>
        <v>1025102.0231451163</v>
      </c>
      <c r="O5" s="36">
        <f t="shared" si="10"/>
        <v>1080533.965440538</v>
      </c>
    </row>
    <row r="6" spans="1:16" ht="17.25" customHeight="1" x14ac:dyDescent="0.3">
      <c r="A6" s="43">
        <v>4120</v>
      </c>
      <c r="B6" s="8" t="s">
        <v>8</v>
      </c>
      <c r="C6" s="3">
        <v>2.4500000000000001E-2</v>
      </c>
      <c r="D6" s="6">
        <v>24.1</v>
      </c>
      <c r="E6" s="6">
        <f t="shared" si="9"/>
        <v>0</v>
      </c>
      <c r="F6" s="4">
        <f>$F$3*C6</f>
        <v>67045.799537387997</v>
      </c>
      <c r="G6" s="4">
        <f>(G3+G4)*$C$6</f>
        <v>96133.145782760344</v>
      </c>
      <c r="H6" s="4">
        <f t="shared" ref="H6:O6" si="11">(H3+H4)*$C$6</f>
        <v>103908.95649257267</v>
      </c>
      <c r="I6" s="4">
        <f t="shared" si="11"/>
        <v>110270.46357308922</v>
      </c>
      <c r="J6" s="4">
        <f t="shared" si="11"/>
        <v>116894.87026129979</v>
      </c>
      <c r="K6" s="4">
        <f t="shared" si="11"/>
        <v>123800.34539184503</v>
      </c>
      <c r="L6" s="4">
        <f t="shared" si="11"/>
        <v>130989.96387680834</v>
      </c>
      <c r="M6" s="4">
        <f t="shared" si="11"/>
        <v>138466.13297870464</v>
      </c>
      <c r="N6" s="4">
        <f t="shared" si="11"/>
        <v>146102.38258903637</v>
      </c>
      <c r="O6" s="36">
        <f t="shared" si="11"/>
        <v>154002.80484754615</v>
      </c>
    </row>
    <row r="7" spans="1:16" ht="17.25" customHeight="1" x14ac:dyDescent="0.3">
      <c r="A7" s="43">
        <v>4710</v>
      </c>
      <c r="B7" s="8" t="s">
        <v>9</v>
      </c>
      <c r="C7" s="3">
        <v>1.4999999999999999E-2</v>
      </c>
      <c r="D7" s="6">
        <v>24.1</v>
      </c>
      <c r="E7" s="6">
        <f t="shared" si="9"/>
        <v>0</v>
      </c>
      <c r="F7" s="4">
        <f>$F$3*C7</f>
        <v>41048.448696359992</v>
      </c>
      <c r="G7" s="4">
        <f>(G3+G4)*$C$7</f>
        <v>58857.028030261434</v>
      </c>
      <c r="H7" s="4">
        <f t="shared" ref="H7:O7" si="12">(H3+H4)*$C$7</f>
        <v>63617.728464840409</v>
      </c>
      <c r="I7" s="4">
        <f t="shared" si="12"/>
        <v>67512.528718217887</v>
      </c>
      <c r="J7" s="4">
        <f t="shared" si="12"/>
        <v>71568.287915081499</v>
      </c>
      <c r="K7" s="4">
        <f t="shared" si="12"/>
        <v>75796.129831741855</v>
      </c>
      <c r="L7" s="4">
        <f t="shared" si="12"/>
        <v>80197.937067433668</v>
      </c>
      <c r="M7" s="4">
        <f t="shared" si="12"/>
        <v>84775.183456349769</v>
      </c>
      <c r="N7" s="4">
        <f t="shared" si="12"/>
        <v>89450.438319818175</v>
      </c>
      <c r="O7" s="36">
        <f t="shared" si="12"/>
        <v>94287.431539313955</v>
      </c>
    </row>
    <row r="8" spans="1:16" ht="17.25" customHeight="1" thickBot="1" x14ac:dyDescent="0.35">
      <c r="A8" s="43">
        <v>4440</v>
      </c>
      <c r="B8" s="11" t="s">
        <v>10</v>
      </c>
      <c r="C8" s="12">
        <v>2723.4</v>
      </c>
      <c r="D8" s="13">
        <v>24.1</v>
      </c>
      <c r="E8" s="13">
        <f t="shared" si="9"/>
        <v>0</v>
      </c>
      <c r="F8" s="12">
        <f>D8*C8*108.2%</f>
        <v>71015.923080000008</v>
      </c>
      <c r="G8" s="12">
        <f>F8*107.6/100</f>
        <v>76413.13323408</v>
      </c>
      <c r="H8" s="12">
        <f t="shared" ref="H8:O8" si="13">G8*G25/100</f>
        <v>81685.639427231523</v>
      </c>
      <c r="I8" s="12">
        <f t="shared" si="13"/>
        <v>86913.520350574341</v>
      </c>
      <c r="J8" s="12">
        <f t="shared" si="13"/>
        <v>92215.245091959368</v>
      </c>
      <c r="K8" s="12">
        <f t="shared" si="13"/>
        <v>97748.159797476939</v>
      </c>
      <c r="L8" s="12">
        <f t="shared" si="13"/>
        <v>103515.30122552808</v>
      </c>
      <c r="M8" s="12">
        <f t="shared" si="13"/>
        <v>109519.1886966087</v>
      </c>
      <c r="N8" s="12">
        <f t="shared" si="13"/>
        <v>115761.78245231541</v>
      </c>
      <c r="O8" s="37">
        <f t="shared" si="13"/>
        <v>122128.68048719276</v>
      </c>
    </row>
    <row r="9" spans="1:16" ht="24" customHeight="1" x14ac:dyDescent="0.3">
      <c r="A9" s="43">
        <v>4000</v>
      </c>
      <c r="B9" s="38" t="s">
        <v>11</v>
      </c>
      <c r="C9" s="39">
        <f>1300+1900+300+1100+469+150</f>
        <v>5219</v>
      </c>
      <c r="D9" s="15">
        <v>24.1</v>
      </c>
      <c r="E9" s="15">
        <f>E8</f>
        <v>0</v>
      </c>
      <c r="F9" s="16">
        <f>D9*C9</f>
        <v>125777.90000000001</v>
      </c>
      <c r="G9" s="40"/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35">
        <v>0</v>
      </c>
    </row>
    <row r="10" spans="1:16" ht="24" customHeight="1" x14ac:dyDescent="0.3">
      <c r="A10" s="43">
        <v>4000</v>
      </c>
      <c r="B10" s="9" t="s">
        <v>12</v>
      </c>
      <c r="C10" s="5">
        <v>8000</v>
      </c>
      <c r="D10" s="6">
        <v>24.1</v>
      </c>
      <c r="E10" s="6">
        <f t="shared" si="9"/>
        <v>0</v>
      </c>
      <c r="F10" s="4">
        <f>D10*C10</f>
        <v>192800</v>
      </c>
      <c r="G10" s="29"/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36">
        <v>0</v>
      </c>
    </row>
    <row r="11" spans="1:16" ht="24" customHeight="1" x14ac:dyDescent="0.3">
      <c r="A11" s="43">
        <v>4000</v>
      </c>
      <c r="B11" s="9" t="s">
        <v>13</v>
      </c>
      <c r="C11" s="5">
        <v>2000</v>
      </c>
      <c r="D11" s="6">
        <v>24.1</v>
      </c>
      <c r="E11" s="6">
        <f t="shared" si="9"/>
        <v>0</v>
      </c>
      <c r="F11" s="4">
        <f>D11*C11</f>
        <v>48200</v>
      </c>
      <c r="G11" s="4">
        <f t="shared" ref="G11:O11" si="14">F11*G23/100</f>
        <v>49646</v>
      </c>
      <c r="H11" s="4">
        <f t="shared" si="14"/>
        <v>51036.087999999996</v>
      </c>
      <c r="I11" s="4">
        <f t="shared" si="14"/>
        <v>52311.990199999993</v>
      </c>
      <c r="J11" s="4">
        <f t="shared" si="14"/>
        <v>53619.789954999993</v>
      </c>
      <c r="K11" s="4">
        <f t="shared" si="14"/>
        <v>54960.28470387499</v>
      </c>
      <c r="L11" s="4">
        <f t="shared" si="14"/>
        <v>56334.291821471859</v>
      </c>
      <c r="M11" s="4">
        <f t="shared" si="14"/>
        <v>57742.649117008652</v>
      </c>
      <c r="N11" s="4">
        <f t="shared" si="14"/>
        <v>59186.215344933866</v>
      </c>
      <c r="O11" s="36">
        <f t="shared" si="14"/>
        <v>60665.870728557209</v>
      </c>
    </row>
    <row r="12" spans="1:16" ht="24" customHeight="1" x14ac:dyDescent="0.3">
      <c r="A12" s="44" t="s">
        <v>26</v>
      </c>
      <c r="B12" s="9" t="s">
        <v>25</v>
      </c>
      <c r="C12" s="5">
        <f>(8078*105%*(48.5-10))</f>
        <v>326553.14999999997</v>
      </c>
      <c r="D12" s="6">
        <v>24.1</v>
      </c>
      <c r="E12" s="6">
        <f t="shared" si="9"/>
        <v>0</v>
      </c>
      <c r="F12" s="4">
        <f>($C$12*F23/100)+423423*F23/100/2</f>
        <v>558718.70669999998</v>
      </c>
      <c r="G12" s="4">
        <f>(F12+423423*F23/100/2)*G23/100</f>
        <v>801829.50101100001</v>
      </c>
      <c r="H12" s="4">
        <f t="shared" ref="H12:O12" si="15">G12*H23/100</f>
        <v>824280.72703930794</v>
      </c>
      <c r="I12" s="4">
        <f t="shared" si="15"/>
        <v>844887.74521529069</v>
      </c>
      <c r="J12" s="4">
        <f t="shared" si="15"/>
        <v>866009.93884567288</v>
      </c>
      <c r="K12" s="4">
        <f t="shared" si="15"/>
        <v>887660.18731681467</v>
      </c>
      <c r="L12" s="4">
        <f t="shared" si="15"/>
        <v>909851.69199973508</v>
      </c>
      <c r="M12" s="4">
        <f t="shared" si="15"/>
        <v>932597.98429972841</v>
      </c>
      <c r="N12" s="4">
        <f t="shared" si="15"/>
        <v>955912.93390722154</v>
      </c>
      <c r="O12" s="36">
        <f t="shared" si="15"/>
        <v>979810.75725490216</v>
      </c>
    </row>
    <row r="13" spans="1:16" ht="24" customHeight="1" x14ac:dyDescent="0.3">
      <c r="A13" s="43">
        <v>4000</v>
      </c>
      <c r="B13" s="9" t="s">
        <v>27</v>
      </c>
      <c r="C13" s="5">
        <v>387</v>
      </c>
      <c r="D13" s="6">
        <v>24.1</v>
      </c>
      <c r="E13" s="6">
        <v>0</v>
      </c>
      <c r="F13" s="4">
        <f>C13*D13</f>
        <v>9326.7000000000007</v>
      </c>
      <c r="G13" s="4"/>
      <c r="H13" s="4"/>
      <c r="I13" s="4"/>
      <c r="J13" s="4"/>
      <c r="K13" s="4"/>
      <c r="L13" s="4"/>
      <c r="M13" s="4"/>
      <c r="N13" s="4"/>
      <c r="O13" s="36"/>
    </row>
    <row r="14" spans="1:16" ht="24" customHeight="1" x14ac:dyDescent="0.3">
      <c r="A14" s="43">
        <v>4520</v>
      </c>
      <c r="B14" s="8" t="s">
        <v>14</v>
      </c>
      <c r="C14" s="5">
        <v>0</v>
      </c>
      <c r="D14" s="6">
        <v>24.1</v>
      </c>
      <c r="E14" s="6">
        <f>E12</f>
        <v>0</v>
      </c>
      <c r="F14" s="4">
        <f>C14*D14*12*G23/100</f>
        <v>0</v>
      </c>
      <c r="G14" s="4">
        <f t="shared" ref="G14:O14" si="16">F14*G23/100</f>
        <v>0</v>
      </c>
      <c r="H14" s="4">
        <f t="shared" si="16"/>
        <v>0</v>
      </c>
      <c r="I14" s="4">
        <f t="shared" si="16"/>
        <v>0</v>
      </c>
      <c r="J14" s="4">
        <f t="shared" si="16"/>
        <v>0</v>
      </c>
      <c r="K14" s="4">
        <f t="shared" si="16"/>
        <v>0</v>
      </c>
      <c r="L14" s="4">
        <f t="shared" si="16"/>
        <v>0</v>
      </c>
      <c r="M14" s="4">
        <f t="shared" si="16"/>
        <v>0</v>
      </c>
      <c r="N14" s="4">
        <f t="shared" si="16"/>
        <v>0</v>
      </c>
      <c r="O14" s="36">
        <f t="shared" si="16"/>
        <v>0</v>
      </c>
    </row>
    <row r="15" spans="1:16" ht="24" customHeight="1" x14ac:dyDescent="0.3">
      <c r="A15" s="43">
        <v>4480</v>
      </c>
      <c r="B15" s="8" t="s">
        <v>15</v>
      </c>
      <c r="C15" s="5">
        <v>0</v>
      </c>
      <c r="D15" s="6">
        <v>24.1</v>
      </c>
      <c r="E15" s="6">
        <f t="shared" si="9"/>
        <v>0</v>
      </c>
      <c r="F15" s="4">
        <f>D15*C15*E15</f>
        <v>0</v>
      </c>
      <c r="G15" s="4">
        <f>C15*D15*12*G23/100</f>
        <v>0</v>
      </c>
      <c r="H15" s="4">
        <f>G15*H23/100</f>
        <v>0</v>
      </c>
      <c r="I15" s="4">
        <f t="shared" ref="I15:O15" si="17">H15*I23/100</f>
        <v>0</v>
      </c>
      <c r="J15" s="4">
        <f t="shared" si="17"/>
        <v>0</v>
      </c>
      <c r="K15" s="4">
        <f t="shared" si="17"/>
        <v>0</v>
      </c>
      <c r="L15" s="4">
        <f t="shared" si="17"/>
        <v>0</v>
      </c>
      <c r="M15" s="4">
        <f t="shared" si="17"/>
        <v>0</v>
      </c>
      <c r="N15" s="4">
        <f t="shared" si="17"/>
        <v>0</v>
      </c>
      <c r="O15" s="36">
        <f t="shared" si="17"/>
        <v>0</v>
      </c>
    </row>
    <row r="16" spans="1:16" ht="24" customHeight="1" x14ac:dyDescent="0.3">
      <c r="A16" s="43">
        <v>4270</v>
      </c>
      <c r="B16" s="8" t="s">
        <v>16</v>
      </c>
      <c r="C16" s="5">
        <v>0</v>
      </c>
      <c r="D16" s="6">
        <v>24.1</v>
      </c>
      <c r="E16" s="6">
        <f>E15</f>
        <v>0</v>
      </c>
      <c r="F16" s="4">
        <f>D16*C16*E16</f>
        <v>0</v>
      </c>
      <c r="G16" s="4">
        <f>C16*D16*12*G23/100</f>
        <v>0</v>
      </c>
      <c r="H16" s="4">
        <f>G16*H$23/100</f>
        <v>0</v>
      </c>
      <c r="I16" s="4">
        <f t="shared" ref="I16:O18" si="18">H16*I$23/100</f>
        <v>0</v>
      </c>
      <c r="J16" s="4">
        <f t="shared" si="18"/>
        <v>0</v>
      </c>
      <c r="K16" s="4">
        <f t="shared" si="18"/>
        <v>0</v>
      </c>
      <c r="L16" s="4">
        <f t="shared" si="18"/>
        <v>0</v>
      </c>
      <c r="M16" s="4">
        <f t="shared" si="18"/>
        <v>0</v>
      </c>
      <c r="N16" s="4">
        <f t="shared" si="18"/>
        <v>0</v>
      </c>
      <c r="O16" s="36">
        <f t="shared" si="18"/>
        <v>0</v>
      </c>
    </row>
    <row r="17" spans="1:15" ht="24" customHeight="1" x14ac:dyDescent="0.3">
      <c r="A17" s="43">
        <v>4410</v>
      </c>
      <c r="B17" s="8" t="s">
        <v>17</v>
      </c>
      <c r="C17" s="5">
        <v>0</v>
      </c>
      <c r="D17" s="6">
        <v>24.1</v>
      </c>
      <c r="E17" s="6">
        <f>E16</f>
        <v>0</v>
      </c>
      <c r="F17" s="4">
        <f>D17*C17*E17</f>
        <v>0</v>
      </c>
      <c r="G17" s="4">
        <f>C17*D17*12*G23/100</f>
        <v>0</v>
      </c>
      <c r="H17" s="4">
        <f>G17*H$23/100</f>
        <v>0</v>
      </c>
      <c r="I17" s="4">
        <f t="shared" si="18"/>
        <v>0</v>
      </c>
      <c r="J17" s="4">
        <f t="shared" si="18"/>
        <v>0</v>
      </c>
      <c r="K17" s="4">
        <f t="shared" si="18"/>
        <v>0</v>
      </c>
      <c r="L17" s="4">
        <f t="shared" si="18"/>
        <v>0</v>
      </c>
      <c r="M17" s="4">
        <f t="shared" si="18"/>
        <v>0</v>
      </c>
      <c r="N17" s="4">
        <f t="shared" si="18"/>
        <v>0</v>
      </c>
      <c r="O17" s="36">
        <f t="shared" si="18"/>
        <v>0</v>
      </c>
    </row>
    <row r="18" spans="1:15" ht="24" customHeight="1" x14ac:dyDescent="0.3">
      <c r="A18" s="43">
        <v>4420</v>
      </c>
      <c r="B18" s="8" t="s">
        <v>18</v>
      </c>
      <c r="C18" s="5">
        <v>0</v>
      </c>
      <c r="D18" s="6">
        <v>24.1</v>
      </c>
      <c r="E18" s="6">
        <f t="shared" si="9"/>
        <v>0</v>
      </c>
      <c r="F18" s="4">
        <f>D18*C18*E18</f>
        <v>0</v>
      </c>
      <c r="G18" s="4">
        <f>C18*D18*12*G23/100</f>
        <v>0</v>
      </c>
      <c r="H18" s="4">
        <f>G18*H$23/100</f>
        <v>0</v>
      </c>
      <c r="I18" s="4">
        <f t="shared" si="18"/>
        <v>0</v>
      </c>
      <c r="J18" s="4">
        <f t="shared" si="18"/>
        <v>0</v>
      </c>
      <c r="K18" s="4">
        <f t="shared" si="18"/>
        <v>0</v>
      </c>
      <c r="L18" s="4">
        <f t="shared" si="18"/>
        <v>0</v>
      </c>
      <c r="M18" s="4">
        <f t="shared" si="18"/>
        <v>0</v>
      </c>
      <c r="N18" s="4">
        <f t="shared" si="18"/>
        <v>0</v>
      </c>
      <c r="O18" s="36">
        <f t="shared" si="18"/>
        <v>0</v>
      </c>
    </row>
    <row r="19" spans="1:15" ht="30" customHeight="1" thickBot="1" x14ac:dyDescent="0.35">
      <c r="A19" s="43">
        <v>3020</v>
      </c>
      <c r="B19" s="19" t="s">
        <v>19</v>
      </c>
      <c r="C19" s="20">
        <f>379*105%</f>
        <v>397.95</v>
      </c>
      <c r="D19" s="33">
        <v>24.1</v>
      </c>
      <c r="E19" s="13">
        <f>E18</f>
        <v>0</v>
      </c>
      <c r="F19" s="12">
        <f>C19*D19*F23/100</f>
        <v>9955.0376100000012</v>
      </c>
      <c r="G19" s="12">
        <f>F19*G$23/100</f>
        <v>10253.688738300001</v>
      </c>
      <c r="H19" s="12">
        <f>G19*H$23/100</f>
        <v>10540.7920229724</v>
      </c>
      <c r="I19" s="12">
        <f t="shared" ref="I19:O19" si="19">H19*I$23/100</f>
        <v>10804.31182354671</v>
      </c>
      <c r="J19" s="12">
        <f t="shared" si="19"/>
        <v>11074.419619135377</v>
      </c>
      <c r="K19" s="12">
        <f t="shared" si="19"/>
        <v>11351.280109613761</v>
      </c>
      <c r="L19" s="12">
        <f t="shared" si="19"/>
        <v>11635.062112354106</v>
      </c>
      <c r="M19" s="12">
        <f t="shared" si="19"/>
        <v>11925.938665162957</v>
      </c>
      <c r="N19" s="12">
        <f t="shared" si="19"/>
        <v>12224.087131792032</v>
      </c>
      <c r="O19" s="37">
        <f t="shared" si="19"/>
        <v>12529.689310086833</v>
      </c>
    </row>
    <row r="20" spans="1:15" ht="26.25" customHeight="1" thickBot="1" x14ac:dyDescent="0.35">
      <c r="A20" s="45"/>
      <c r="B20" s="17" t="s">
        <v>22</v>
      </c>
      <c r="C20" s="31"/>
      <c r="D20" s="34"/>
      <c r="E20" s="32"/>
      <c r="F20" s="18">
        <f t="shared" ref="F20:O20" si="20">SUM(F3:F19)</f>
        <v>4330866.9841080336</v>
      </c>
      <c r="G20" s="18">
        <f>SUM(G3:G19)-G10-G9</f>
        <v>5691435.9067072943</v>
      </c>
      <c r="H20" s="18">
        <f t="shared" si="20"/>
        <v>6105310.9973100238</v>
      </c>
      <c r="I20" s="18">
        <f t="shared" si="20"/>
        <v>6447229.3868726883</v>
      </c>
      <c r="J20" s="18">
        <f t="shared" si="20"/>
        <v>6802774.3255337495</v>
      </c>
      <c r="K20" s="18">
        <f t="shared" si="20"/>
        <v>7173015.3571392521</v>
      </c>
      <c r="L20" s="18">
        <f t="shared" si="20"/>
        <v>7558121.7447250318</v>
      </c>
      <c r="M20" s="18">
        <f t="shared" si="20"/>
        <v>7958229.5767133171</v>
      </c>
      <c r="N20" s="18">
        <f t="shared" si="20"/>
        <v>8367102.4175447775</v>
      </c>
      <c r="O20" s="41">
        <f t="shared" si="20"/>
        <v>8789787.9688957334</v>
      </c>
    </row>
    <row r="21" spans="1:15" ht="9" customHeight="1" x14ac:dyDescent="0.3"/>
    <row r="22" spans="1:15" x14ac:dyDescent="0.3">
      <c r="D22" s="47"/>
      <c r="E22" s="48"/>
      <c r="F22" s="2">
        <v>2026</v>
      </c>
      <c r="G22" s="2">
        <v>2027</v>
      </c>
      <c r="H22" s="2">
        <v>2028</v>
      </c>
      <c r="I22" s="2">
        <v>2029</v>
      </c>
      <c r="J22" s="2">
        <v>2030</v>
      </c>
      <c r="K22" s="2">
        <v>2031</v>
      </c>
      <c r="L22" s="2">
        <v>2032</v>
      </c>
      <c r="M22" s="2">
        <v>2033</v>
      </c>
      <c r="N22" s="2">
        <v>2034</v>
      </c>
      <c r="O22" s="2">
        <v>2035</v>
      </c>
    </row>
    <row r="23" spans="1:15" x14ac:dyDescent="0.3">
      <c r="D23" s="60" t="s">
        <v>0</v>
      </c>
      <c r="E23" s="61"/>
      <c r="F23" s="26">
        <v>103.8</v>
      </c>
      <c r="G23" s="26">
        <v>103</v>
      </c>
      <c r="H23" s="26">
        <v>102.8</v>
      </c>
      <c r="I23" s="26">
        <v>102.5</v>
      </c>
      <c r="J23" s="26">
        <v>102.5</v>
      </c>
      <c r="K23" s="26">
        <v>102.5</v>
      </c>
      <c r="L23" s="26">
        <v>102.5</v>
      </c>
      <c r="M23" s="26">
        <v>102.5</v>
      </c>
      <c r="N23" s="26">
        <v>102.5</v>
      </c>
      <c r="O23" s="26">
        <v>102.5</v>
      </c>
    </row>
    <row r="24" spans="1:15" x14ac:dyDescent="0.3">
      <c r="D24" s="62" t="s">
        <v>24</v>
      </c>
      <c r="E24" s="63"/>
      <c r="F24" s="28"/>
      <c r="G24" s="28"/>
      <c r="H24" s="28"/>
      <c r="I24" s="28"/>
      <c r="J24" s="27">
        <v>103.4</v>
      </c>
      <c r="K24" s="27">
        <v>103.3</v>
      </c>
      <c r="L24" s="27">
        <v>103.2</v>
      </c>
      <c r="M24" s="27">
        <v>103.1</v>
      </c>
      <c r="N24" s="27">
        <v>102.9</v>
      </c>
      <c r="O24" s="27">
        <v>102.8</v>
      </c>
    </row>
    <row r="25" spans="1:15" x14ac:dyDescent="0.3">
      <c r="D25" s="64" t="s">
        <v>1</v>
      </c>
      <c r="E25" s="65"/>
      <c r="F25" s="24">
        <v>103</v>
      </c>
      <c r="G25" s="25">
        <v>106.9</v>
      </c>
      <c r="H25" s="24">
        <v>106.4</v>
      </c>
      <c r="I25" s="24">
        <v>106.1</v>
      </c>
      <c r="J25" s="24">
        <f>ROUND((J23*J24)/100,1)</f>
        <v>106</v>
      </c>
      <c r="K25" s="24">
        <f t="shared" ref="K25:O25" si="21">ROUND((K23*K24)/100,1)</f>
        <v>105.9</v>
      </c>
      <c r="L25" s="24">
        <f t="shared" si="21"/>
        <v>105.8</v>
      </c>
      <c r="M25" s="24">
        <f t="shared" si="21"/>
        <v>105.7</v>
      </c>
      <c r="N25" s="24">
        <f t="shared" si="21"/>
        <v>105.5</v>
      </c>
      <c r="O25" s="24">
        <f t="shared" si="21"/>
        <v>105.4</v>
      </c>
    </row>
    <row r="26" spans="1:15" ht="57.9" customHeight="1" x14ac:dyDescent="0.3">
      <c r="D26" s="66" t="s">
        <v>30</v>
      </c>
      <c r="E26" s="67"/>
      <c r="F26" s="22">
        <f>3.5*2759.97*120%*F25/100</f>
        <v>11939.630219999999</v>
      </c>
      <c r="G26" s="21">
        <f t="shared" ref="G26:O26" si="22">F26*G25/100</f>
        <v>12763.46470518</v>
      </c>
      <c r="H26" s="21">
        <f>G26*H25/100</f>
        <v>13580.326446311521</v>
      </c>
      <c r="I26" s="21">
        <f t="shared" si="22"/>
        <v>14408.726359536522</v>
      </c>
      <c r="J26" s="21">
        <f t="shared" si="22"/>
        <v>15273.249941108714</v>
      </c>
      <c r="K26" s="21">
        <f t="shared" si="22"/>
        <v>16174.371687634128</v>
      </c>
      <c r="L26" s="21">
        <f t="shared" si="22"/>
        <v>17112.485245516906</v>
      </c>
      <c r="M26" s="21">
        <f t="shared" si="22"/>
        <v>18087.89690451137</v>
      </c>
      <c r="N26" s="21">
        <f t="shared" si="22"/>
        <v>19082.731234259496</v>
      </c>
      <c r="O26" s="21">
        <f t="shared" si="22"/>
        <v>20113.19872090951</v>
      </c>
    </row>
    <row r="27" spans="1:15" ht="47.25" customHeight="1" x14ac:dyDescent="0.3">
      <c r="E27" s="59" t="s">
        <v>28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</row>
    <row r="46" spans="5:5" x14ac:dyDescent="0.3">
      <c r="E46" s="46"/>
    </row>
    <row r="47" spans="5:5" x14ac:dyDescent="0.3">
      <c r="E47" s="46"/>
    </row>
    <row r="48" spans="5:5" x14ac:dyDescent="0.3">
      <c r="E48" s="46"/>
    </row>
  </sheetData>
  <mergeCells count="11">
    <mergeCell ref="E27:O27"/>
    <mergeCell ref="D23:E23"/>
    <mergeCell ref="D24:E24"/>
    <mergeCell ref="D25:E25"/>
    <mergeCell ref="D26:E26"/>
    <mergeCell ref="D22:E22"/>
    <mergeCell ref="A1:A2"/>
    <mergeCell ref="B1:B2"/>
    <mergeCell ref="C1:C2"/>
    <mergeCell ref="D1:D2"/>
    <mergeCell ref="E1:F1"/>
  </mergeCells>
  <pageMargins left="0.23622047244094491" right="0.23622047244094491" top="0.74803149606299213" bottom="0.74803149606299213" header="0.31496062992125984" footer="0.31496062992125984"/>
  <pageSetup paperSize="8" scale="85" fitToWidth="0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4209F4A2C3214B93D506F991F155C3" ma:contentTypeVersion="4" ma:contentTypeDescription="Utwórz nowy dokument." ma:contentTypeScope="" ma:versionID="29b77b4c891833c5a95e113b580820fc">
  <xsd:schema xmlns:xsd="http://www.w3.org/2001/XMLSchema" xmlns:xs="http://www.w3.org/2001/XMLSchema" xmlns:p="http://schemas.microsoft.com/office/2006/metadata/properties" xmlns:ns2="75b5d38f-3d42-4b58-8cea-c23b4d8d2b81" targetNamespace="http://schemas.microsoft.com/office/2006/metadata/properties" ma:root="true" ma:fieldsID="188191f8cba3d1a95c934ccb8100183f" ns2:_="">
    <xsd:import namespace="75b5d38f-3d42-4b58-8cea-c23b4d8d2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5d38f-3d42-4b58-8cea-c23b4d8d2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89E09-2B59-4317-AD39-549D923555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0FF608-431A-43E5-956C-2C4E9650C5F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5b5d38f-3d42-4b58-8cea-c23b4d8d2b81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DFCE55-A2B1-45AA-A682-B5C191E7B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5d38f-3d42-4b58-8cea-c23b4d8d2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 zatrudnienia - SC</vt:lpstr>
      <vt:lpstr>'Koszt zatrudnienia - SC'!Obszar_wydruku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 Radosław</dc:creator>
  <cp:lastModifiedBy>Aneta Smaś</cp:lastModifiedBy>
  <cp:lastPrinted>2025-08-12T13:43:29Z</cp:lastPrinted>
  <dcterms:created xsi:type="dcterms:W3CDTF">2024-05-27T09:04:43Z</dcterms:created>
  <dcterms:modified xsi:type="dcterms:W3CDTF">2025-08-22T10:50:52Z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0x010100A44209F4A2C3214B93D506F991F155C3</vt:lpwstr>
  </property>
</Properties>
</file>