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GMiZS2\1. Projekt zmiany ustawy o zapobieganiu zanieczyszczaniu morza przez statki oraz innych ustaw\ETAP - KSE\"/>
    </mc:Choice>
  </mc:AlternateContent>
  <xr:revisionPtr revIDLastSave="0" documentId="13_ncr:1_{831837BA-D3DA-4850-B448-DD32A61077D5}" xr6:coauthVersionLast="47" xr6:coauthVersionMax="47" xr10:uidLastSave="{00000000-0000-0000-0000-000000000000}"/>
  <bookViews>
    <workbookView xWindow="-108" yWindow="-108" windowWidth="23256" windowHeight="12456" tabRatio="759" activeTab="4" xr2:uid="{00000000-000D-0000-FFFF-FFFF00000000}"/>
  </bookViews>
  <sheets>
    <sheet name="OSR" sheetId="22" r:id="rId1"/>
    <sheet name="etaty UM" sheetId="12" r:id="rId2"/>
    <sheet name="etat MI" sheetId="19" r:id="rId3"/>
    <sheet name="etat PCA" sheetId="23" r:id="rId4"/>
    <sheet name="kary FuelEU" sheetId="2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2" l="1"/>
  <c r="D11" i="22"/>
  <c r="B4" i="21" l="1"/>
  <c r="G3" i="21"/>
  <c r="C3" i="21"/>
  <c r="H3" i="21" s="1"/>
  <c r="I3" i="21" s="1"/>
  <c r="G2" i="21"/>
  <c r="C2" i="21"/>
  <c r="H2" i="21" s="1"/>
  <c r="E3" i="21" l="1"/>
  <c r="F3" i="21" s="1"/>
  <c r="I2" i="21"/>
  <c r="I4" i="21" s="1"/>
  <c r="H4" i="21"/>
  <c r="C4" i="21"/>
  <c r="E2" i="21"/>
  <c r="E4" i="21" l="1"/>
  <c r="F2" i="21"/>
  <c r="F4" i="21" s="1"/>
  <c r="D4" i="12" l="1"/>
  <c r="B19" i="23" l="1"/>
  <c r="C10" i="23"/>
  <c r="C22" i="23" s="1"/>
  <c r="B9" i="23"/>
  <c r="C9" i="23" s="1"/>
  <c r="C7" i="23"/>
  <c r="C6" i="23"/>
  <c r="C5" i="23"/>
  <c r="C18" i="23" l="1"/>
  <c r="C3" i="23" s="1"/>
  <c r="C8" i="23"/>
  <c r="C13" i="23" s="1"/>
  <c r="C14" i="23" s="1"/>
  <c r="C16" i="23" s="1"/>
  <c r="B13" i="22" s="1"/>
  <c r="C21" i="23"/>
  <c r="B5" i="22"/>
  <c r="B6" i="22"/>
  <c r="B9" i="22"/>
  <c r="B8" i="22"/>
  <c r="B7" i="22"/>
  <c r="C12" i="23"/>
  <c r="C11" i="23"/>
  <c r="C20" i="23" s="1"/>
  <c r="B18" i="23"/>
  <c r="C19" i="23"/>
  <c r="B10" i="22" l="1"/>
  <c r="C13" i="22"/>
  <c r="C23" i="23"/>
  <c r="E12" i="22"/>
  <c r="F12" i="22" s="1"/>
  <c r="G12" i="22" s="1"/>
  <c r="H12" i="22" s="1"/>
  <c r="I12" i="22" s="1"/>
  <c r="J12" i="22" s="1"/>
  <c r="K12" i="22" s="1"/>
  <c r="B4" i="22"/>
  <c r="D13" i="22" l="1"/>
  <c r="E13" i="22" s="1"/>
  <c r="F13" i="22" s="1"/>
  <c r="G13" i="22" s="1"/>
  <c r="H13" i="22" s="1"/>
  <c r="I13" i="22" s="1"/>
  <c r="J13" i="22" s="1"/>
  <c r="K13" i="22" s="1"/>
  <c r="L13" i="22"/>
  <c r="B14" i="22"/>
  <c r="D10" i="22" l="1"/>
  <c r="B15" i="19"/>
  <c r="B8" i="19"/>
  <c r="B14" i="19" s="1"/>
  <c r="C6" i="19"/>
  <c r="C5" i="19"/>
  <c r="B15" i="12"/>
  <c r="B8" i="12"/>
  <c r="C8" i="12" s="1"/>
  <c r="D8" i="12" s="1"/>
  <c r="C6" i="12"/>
  <c r="D6" i="12" s="1"/>
  <c r="C5" i="12"/>
  <c r="D5" i="12" s="1"/>
  <c r="C7" i="12" l="1"/>
  <c r="D7" i="12" s="1"/>
  <c r="C15" i="12"/>
  <c r="D15" i="12" s="1"/>
  <c r="C8" i="19"/>
  <c r="C14" i="19" s="1"/>
  <c r="C3" i="19" s="1"/>
  <c r="C7" i="19"/>
  <c r="C11" i="19" s="1"/>
  <c r="C12" i="19" s="1"/>
  <c r="C11" i="22" s="1"/>
  <c r="C15" i="19"/>
  <c r="C10" i="12"/>
  <c r="D10" i="12" s="1"/>
  <c r="C9" i="12"/>
  <c r="D9" i="12" s="1"/>
  <c r="C14" i="12"/>
  <c r="D14" i="12" s="1"/>
  <c r="B14" i="12"/>
  <c r="C7" i="22" l="1"/>
  <c r="C8" i="22"/>
  <c r="C11" i="12"/>
  <c r="D11" i="12" s="1"/>
  <c r="C10" i="19"/>
  <c r="C9" i="19"/>
  <c r="C16" i="19" s="1"/>
  <c r="C3" i="12"/>
  <c r="D3" i="12" s="1"/>
  <c r="C17" i="12"/>
  <c r="D17" i="12" s="1"/>
  <c r="C16" i="12"/>
  <c r="D16" i="12" s="1"/>
  <c r="C12" i="12" l="1"/>
  <c r="D12" i="12" s="1"/>
  <c r="C12" i="22" s="1"/>
  <c r="C6" i="22"/>
  <c r="E11" i="22"/>
  <c r="C17" i="19"/>
  <c r="C18" i="12"/>
  <c r="D18" i="12" s="1"/>
  <c r="F11" i="22" l="1"/>
  <c r="E10" i="22"/>
  <c r="C5" i="22"/>
  <c r="C18" i="19"/>
  <c r="D8" i="22"/>
  <c r="E8" i="22" s="1"/>
  <c r="F8" i="22" s="1"/>
  <c r="G8" i="22" s="1"/>
  <c r="H8" i="22" s="1"/>
  <c r="I8" i="22" s="1"/>
  <c r="J8" i="22" s="1"/>
  <c r="K8" i="22" s="1"/>
  <c r="C9" i="22" l="1"/>
  <c r="G11" i="22"/>
  <c r="F10" i="22"/>
  <c r="L12" i="22"/>
  <c r="C10" i="22"/>
  <c r="L8" i="22"/>
  <c r="D7" i="22"/>
  <c r="E7" i="22" s="1"/>
  <c r="F7" i="22" s="1"/>
  <c r="G7" i="22" s="1"/>
  <c r="H7" i="22" s="1"/>
  <c r="I7" i="22" s="1"/>
  <c r="J7" i="22" s="1"/>
  <c r="K7" i="22" s="1"/>
  <c r="H11" i="22" l="1"/>
  <c r="G10" i="22"/>
  <c r="L7" i="22"/>
  <c r="D5" i="22"/>
  <c r="E5" i="22" s="1"/>
  <c r="F5" i="22" s="1"/>
  <c r="G5" i="22" s="1"/>
  <c r="H5" i="22" s="1"/>
  <c r="I5" i="22" s="1"/>
  <c r="D6" i="22"/>
  <c r="E6" i="22" s="1"/>
  <c r="F6" i="22" s="1"/>
  <c r="G6" i="22" s="1"/>
  <c r="H6" i="22" s="1"/>
  <c r="I6" i="22" s="1"/>
  <c r="J6" i="22" s="1"/>
  <c r="K6" i="22" s="1"/>
  <c r="I11" i="22" l="1"/>
  <c r="H10" i="22"/>
  <c r="L6" i="22"/>
  <c r="D9" i="22"/>
  <c r="C15" i="22"/>
  <c r="J5" i="22"/>
  <c r="C4" i="22"/>
  <c r="C14" i="22" s="1"/>
  <c r="J11" i="22" l="1"/>
  <c r="I10" i="22"/>
  <c r="K5" i="22"/>
  <c r="E9" i="22"/>
  <c r="D15" i="22"/>
  <c r="K11" i="22" l="1"/>
  <c r="K10" i="22" s="1"/>
  <c r="J10" i="22"/>
  <c r="L11" i="22"/>
  <c r="L10" i="22" s="1"/>
  <c r="F9" i="22"/>
  <c r="F4" i="22" s="1"/>
  <c r="E15" i="22"/>
  <c r="L5" i="22"/>
  <c r="D4" i="22"/>
  <c r="E4" i="22"/>
  <c r="E14" i="22" l="1"/>
  <c r="F14" i="22"/>
  <c r="G9" i="22"/>
  <c r="F15" i="22"/>
  <c r="H9" i="22" l="1"/>
  <c r="G15" i="22"/>
  <c r="G4" i="22"/>
  <c r="D14" i="22"/>
  <c r="G14" i="22" l="1"/>
  <c r="H15" i="22"/>
  <c r="I9" i="22"/>
  <c r="H4" i="22"/>
  <c r="H14" i="22" s="1"/>
  <c r="I15" i="22" l="1"/>
  <c r="J9" i="22"/>
  <c r="I4" i="22"/>
  <c r="I14" i="22" s="1"/>
  <c r="K9" i="22" l="1"/>
  <c r="J15" i="22"/>
  <c r="J4" i="22"/>
  <c r="J14" i="22" l="1"/>
  <c r="K15" i="22"/>
  <c r="K4" i="22"/>
  <c r="K14" i="22" s="1"/>
  <c r="L9" i="22"/>
  <c r="L15" i="22" l="1"/>
  <c r="L14" i="22"/>
  <c r="L4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Paź-Woźniak Agnieszka</author>
  </authors>
  <commentList>
    <comment ref="B4" authorId="0" shapeId="0" xr:uid="{0BDA49F7-1FBB-4CB2-A033-0B63F2855E62}">
      <text>
        <r>
          <rPr>
            <sz val="9"/>
            <color indexed="81"/>
            <rFont val="Tahoma"/>
            <charset val="1"/>
          </rPr>
          <t xml:space="preserve">PCA prowadzi samodzielną gospodarkę finansową, a koszty działalności, w tym wynagrodzenia pracowników, są pokrywane z przychodów PCA
</t>
        </r>
      </text>
    </comment>
  </commentList>
</comments>
</file>

<file path=xl/sharedStrings.xml><?xml version="1.0" encoding="utf-8"?>
<sst xmlns="http://schemas.openxmlformats.org/spreadsheetml/2006/main" count="110" uniqueCount="75">
  <si>
    <t>JST</t>
  </si>
  <si>
    <t>Saldo ogółem</t>
  </si>
  <si>
    <t>Wydatki ogółem</t>
  </si>
  <si>
    <t>Dochody ogółem</t>
  </si>
  <si>
    <t>Łącznie (0-10)</t>
  </si>
  <si>
    <t>Suma</t>
  </si>
  <si>
    <t>Podsumowanie składek</t>
  </si>
  <si>
    <t>NFZ</t>
  </si>
  <si>
    <t>FUS</t>
  </si>
  <si>
    <t>FP</t>
  </si>
  <si>
    <t>1 (2025)</t>
  </si>
  <si>
    <t>2 (2026)</t>
  </si>
  <si>
    <t>3 (2027)</t>
  </si>
  <si>
    <t>4 (2028)</t>
  </si>
  <si>
    <t xml:space="preserve">   JST</t>
  </si>
  <si>
    <t>5 (2029)</t>
  </si>
  <si>
    <t>6 (2030)</t>
  </si>
  <si>
    <t>7 (2031)</t>
  </si>
  <si>
    <t>8 (2032)</t>
  </si>
  <si>
    <t>9 (2033)</t>
  </si>
  <si>
    <t>10 (2034)</t>
  </si>
  <si>
    <t>tabela kursowa</t>
  </si>
  <si>
    <t>PLN</t>
  </si>
  <si>
    <t>Typ statku</t>
  </si>
  <si>
    <t xml:space="preserve">- </t>
  </si>
  <si>
    <t>Liczba statków przypisanych PL</t>
  </si>
  <si>
    <t>liczba statków placacych kary</t>
  </si>
  <si>
    <t>Suma kar na dany typ statku [PLN] w latach 2026-2030</t>
  </si>
  <si>
    <t>Suma kar na dany typ statku [PLN] w latach 2031-2034</t>
  </si>
  <si>
    <t>Kara [EUR] na jeden statek w latach 2026-2030</t>
  </si>
  <si>
    <t xml:space="preserve">Kara [EUR] na jeden statek w latach 2026-2030 </t>
  </si>
  <si>
    <t>Suma kar na dany typ statku [EUR] w latach 2031-2034</t>
  </si>
  <si>
    <t xml:space="preserve">Pkt. 6 OSR_wyliczenia dot. etatów dla Urzędów Morskich </t>
  </si>
  <si>
    <t xml:space="preserve">Urzędy Morskie </t>
  </si>
  <si>
    <t xml:space="preserve">Uwagi </t>
  </si>
  <si>
    <t xml:space="preserve">Koszt 1 etatu </t>
  </si>
  <si>
    <t xml:space="preserve">Miesięczne wynagrodzenie netto </t>
  </si>
  <si>
    <t xml:space="preserve">Miesięczne wynagrodzenie brutto </t>
  </si>
  <si>
    <t>Suma składek na ubezpieczenia społeczne finansowanych przez pracodawcę</t>
  </si>
  <si>
    <t>Suma składek na Fundusz Pracy</t>
  </si>
  <si>
    <t>Suma wszystkich składek finansowanych przez pracodawcę</t>
  </si>
  <si>
    <t>Suma składek na ubezpieczenia społeczne finansowanych przez pracownika</t>
  </si>
  <si>
    <t>Składka na ubezpieczenie zdrowotne</t>
  </si>
  <si>
    <t>Miesięczna zaliczka na podatek dochodowy od osób fizycznych</t>
  </si>
  <si>
    <t>Całkowity koszt miesięczny etatu/etatów</t>
  </si>
  <si>
    <t xml:space="preserve">Całkowity koszt roczny związany z obsługą etatu / etatów </t>
  </si>
  <si>
    <t>Ogółem składki na FUS (finansowane przez pracodawcę i pracownika)</t>
  </si>
  <si>
    <t>Składki na ubezpieczenie zdrowotne (NFZ)</t>
  </si>
  <si>
    <t>Zaliczka na podatek dochodowy od osób fizycznych odprowadzana do budzetu centralnego</t>
  </si>
  <si>
    <t>Zaliczka na podatek dochodowy od osób fizycznych odprowadzana do budzetu JST</t>
  </si>
  <si>
    <t>Pkt. 6 OSR_wyliczenia dot. etatu dla Ministerstwa Infrastruktury</t>
  </si>
  <si>
    <t xml:space="preserve">Ministerstwo Infrastruktury </t>
  </si>
  <si>
    <t xml:space="preserve">Całkowity koszt miesięczny etatu </t>
  </si>
  <si>
    <t xml:space="preserve">Całkowity koszt roczny związany z obsługą etatu </t>
  </si>
  <si>
    <t>Składki na FP</t>
  </si>
  <si>
    <t>Suma kar na dany typ statku [EUR] w latach 2026-2030</t>
  </si>
  <si>
    <t>Masowiec, kontenerowiec, chłodniowiec, ro-pax, ro-ro, chemikaliowiec, ropowiec, gazowiec</t>
  </si>
  <si>
    <t>Drobnicowiec, inny</t>
  </si>
  <si>
    <t>EUR</t>
  </si>
  <si>
    <t>(ceny stałe z 2024 r.)</t>
  </si>
  <si>
    <t xml:space="preserve">Pkt. 6 OSR_wpływ na sektor finansów publicznych </t>
  </si>
  <si>
    <t xml:space="preserve">Składki na Fundusz Pracy </t>
  </si>
  <si>
    <t>etaty DUM</t>
  </si>
  <si>
    <t>etat MI</t>
  </si>
  <si>
    <t>budżet państwa podatek dochodowy - nowe etaty DUM, MI</t>
  </si>
  <si>
    <t xml:space="preserve">Koszt 1/4 etatu </t>
  </si>
  <si>
    <t>PPK</t>
  </si>
  <si>
    <t>wynagrodzenie roczne (trzynastka)</t>
  </si>
  <si>
    <t>nagroda roczna 8,5%</t>
  </si>
  <si>
    <t xml:space="preserve">Pkt. 6 OSR_wyliczenia dot. etatu dla Polskiego Centrum Akredytacji </t>
  </si>
  <si>
    <t xml:space="preserve">Polskie Centrum Akredytacji </t>
  </si>
  <si>
    <t>etat PCA</t>
  </si>
  <si>
    <t xml:space="preserve">Na podstawie sprawozdania Szefa Służby Cywilnej za 2024 r. (powiększone w 2025 r. o 10%) </t>
  </si>
  <si>
    <t xml:space="preserve">Koszt 9 etatów </t>
  </si>
  <si>
    <t>średnie wynagrodzenie jakiego oczekują kandydaci do pracy w PCA z uwzględnieniem kosztów pracodawcy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</si>
</sst>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zł&quot;_-;\-* #,##0.00\ &quot;zł&quot;_-;_-* &quot;-&quot;\ &quot;zł&quot;_-;_-@_-"/>
    <numFmt numFmtId="166" formatCode="#,##0.000"/>
    <numFmt numFmtId="167" formatCode="#,##0.00\ &quot;zł&quot;"/>
    <numFmt numFmtId="168" formatCode="_-* #,##0.000\ _z_ł_-;\-* #,##0.000\ _z_ł_-;_-* &quot;-&quot;??\ _z_ł_-;_-@_-"/>
    <numFmt numFmtId="169" formatCode="_-* #,##0.000\ _z_ł_-;\-* #,##0.000\ _z_ł_-;_-* &quot;-&quot;???\ _z_ł_-;_-@_-"/>
    <numFmt numFmtId="170" formatCode="_-* #,##0.0000\ _z_ł_-;\-* #,##0.0000\ _z_ł_-;_-* &quot;-&quot;???\ _z_ł_-;_-@_-"/>
    <numFmt numFmtId="171" formatCode="0.000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theme="0" tint="-0.14999847407452621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164" fontId="12" fillId="0" borderId="0" applyFont="0" applyFill="0" applyBorder="0" applyAlignment="0" applyProtection="0"/>
  </cellStyleXfs>
  <cellXfs count="110">
    <xf numFmtId="0" fontId="0" fillId="0" borderId="0" xfId="0"/>
    <xf numFmtId="0" fontId="4" fillId="3" borderId="0" xfId="0" applyFont="1" applyFill="1" applyAlignment="1">
      <alignment vertical="top" wrapText="1"/>
    </xf>
    <xf numFmtId="0" fontId="0" fillId="10" borderId="2" xfId="0" applyFill="1" applyBorder="1"/>
    <xf numFmtId="0" fontId="0" fillId="10" borderId="2" xfId="0" applyFill="1" applyBorder="1" applyAlignment="1">
      <alignment wrapText="1"/>
    </xf>
    <xf numFmtId="44" fontId="0" fillId="0" borderId="2" xfId="0" applyNumberFormat="1" applyBorder="1"/>
    <xf numFmtId="0" fontId="0" fillId="3" borderId="0" xfId="0" applyFill="1"/>
    <xf numFmtId="0" fontId="0" fillId="3" borderId="0" xfId="0" applyFill="1" applyAlignment="1">
      <alignment wrapText="1"/>
    </xf>
    <xf numFmtId="0" fontId="7" fillId="7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vertical="center" wrapText="1"/>
    </xf>
    <xf numFmtId="10" fontId="5" fillId="4" borderId="2" xfId="0" applyNumberFormat="1" applyFont="1" applyFill="1" applyBorder="1" applyAlignment="1">
      <alignment wrapText="1"/>
    </xf>
    <xf numFmtId="0" fontId="1" fillId="0" borderId="0" xfId="0" applyFont="1"/>
    <xf numFmtId="0" fontId="5" fillId="11" borderId="2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5" fillId="0" borderId="2" xfId="0" applyFont="1" applyBorder="1" applyAlignment="1">
      <alignment vertical="center" wrapText="1"/>
    </xf>
    <xf numFmtId="44" fontId="5" fillId="0" borderId="2" xfId="0" applyNumberFormat="1" applyFont="1" applyBorder="1"/>
    <xf numFmtId="0" fontId="5" fillId="5" borderId="2" xfId="0" applyFont="1" applyFill="1" applyBorder="1" applyAlignment="1">
      <alignment wrapText="1"/>
    </xf>
    <xf numFmtId="44" fontId="5" fillId="5" borderId="2" xfId="0" applyNumberFormat="1" applyFont="1" applyFill="1" applyBorder="1"/>
    <xf numFmtId="0" fontId="5" fillId="0" borderId="2" xfId="0" applyFont="1" applyBorder="1" applyAlignment="1">
      <alignment wrapText="1"/>
    </xf>
    <xf numFmtId="10" fontId="5" fillId="0" borderId="2" xfId="0" applyNumberFormat="1" applyFont="1" applyBorder="1" applyAlignment="1">
      <alignment wrapText="1"/>
    </xf>
    <xf numFmtId="10" fontId="5" fillId="5" borderId="2" xfId="0" applyNumberFormat="1" applyFont="1" applyFill="1" applyBorder="1" applyAlignment="1">
      <alignment wrapText="1"/>
    </xf>
    <xf numFmtId="10" fontId="6" fillId="11" borderId="2" xfId="0" applyNumberFormat="1" applyFont="1" applyFill="1" applyBorder="1" applyAlignment="1">
      <alignment wrapText="1"/>
    </xf>
    <xf numFmtId="0" fontId="5" fillId="12" borderId="2" xfId="0" applyFont="1" applyFill="1" applyBorder="1" applyAlignment="1">
      <alignment wrapText="1"/>
    </xf>
    <xf numFmtId="10" fontId="5" fillId="13" borderId="2" xfId="0" applyNumberFormat="1" applyFont="1" applyFill="1" applyBorder="1" applyAlignment="1">
      <alignment wrapText="1"/>
    </xf>
    <xf numFmtId="0" fontId="5" fillId="14" borderId="2" xfId="0" applyFont="1" applyFill="1" applyBorder="1" applyAlignment="1">
      <alignment wrapText="1"/>
    </xf>
    <xf numFmtId="10" fontId="5" fillId="14" borderId="2" xfId="0" applyNumberFormat="1" applyFont="1" applyFill="1" applyBorder="1" applyAlignment="1">
      <alignment wrapText="1"/>
    </xf>
    <xf numFmtId="0" fontId="6" fillId="10" borderId="2" xfId="0" applyFont="1" applyFill="1" applyBorder="1" applyAlignment="1">
      <alignment vertical="center"/>
    </xf>
    <xf numFmtId="0" fontId="6" fillId="10" borderId="2" xfId="0" applyFont="1" applyFill="1" applyBorder="1"/>
    <xf numFmtId="44" fontId="0" fillId="10" borderId="2" xfId="0" applyNumberFormat="1" applyFill="1" applyBorder="1"/>
    <xf numFmtId="44" fontId="0" fillId="4" borderId="2" xfId="0" applyNumberFormat="1" applyFill="1" applyBorder="1"/>
    <xf numFmtId="44" fontId="0" fillId="2" borderId="3" xfId="0" applyNumberFormat="1" applyFill="1" applyBorder="1"/>
    <xf numFmtId="42" fontId="0" fillId="3" borderId="0" xfId="0" applyNumberFormat="1" applyFill="1"/>
    <xf numFmtId="0" fontId="7" fillId="9" borderId="2" xfId="0" applyFont="1" applyFill="1" applyBorder="1" applyAlignment="1">
      <alignment vertical="center" wrapText="1"/>
    </xf>
    <xf numFmtId="44" fontId="5" fillId="11" borderId="2" xfId="0" applyNumberFormat="1" applyFont="1" applyFill="1" applyBorder="1"/>
    <xf numFmtId="44" fontId="5" fillId="13" borderId="2" xfId="0" applyNumberFormat="1" applyFont="1" applyFill="1" applyBorder="1"/>
    <xf numFmtId="44" fontId="5" fillId="14" borderId="2" xfId="0" applyNumberFormat="1" applyFont="1" applyFill="1" applyBorder="1"/>
    <xf numFmtId="44" fontId="5" fillId="4" borderId="2" xfId="0" applyNumberFormat="1" applyFont="1" applyFill="1" applyBorder="1"/>
    <xf numFmtId="165" fontId="0" fillId="10" borderId="2" xfId="0" applyNumberFormat="1" applyFill="1" applyBorder="1"/>
    <xf numFmtId="0" fontId="8" fillId="6" borderId="2" xfId="0" applyFont="1" applyFill="1" applyBorder="1" applyAlignment="1">
      <alignment horizontal="left" vertical="center" wrapText="1" indent="1"/>
    </xf>
    <xf numFmtId="0" fontId="8" fillId="2" borderId="2" xfId="0" applyFont="1" applyFill="1" applyBorder="1" applyAlignment="1">
      <alignment horizontal="left" vertical="center" wrapText="1" indent="1"/>
    </xf>
    <xf numFmtId="166" fontId="8" fillId="6" borderId="2" xfId="0" applyNumberFormat="1" applyFont="1" applyFill="1" applyBorder="1" applyAlignment="1">
      <alignment vertical="center" wrapText="1"/>
    </xf>
    <xf numFmtId="166" fontId="8" fillId="2" borderId="2" xfId="0" applyNumberFormat="1" applyFont="1" applyFill="1" applyBorder="1" applyAlignment="1">
      <alignment vertical="center" wrapText="1"/>
    </xf>
    <xf numFmtId="166" fontId="7" fillId="9" borderId="2" xfId="0" applyNumberFormat="1" applyFont="1" applyFill="1" applyBorder="1" applyAlignment="1">
      <alignment vertical="center" wrapText="1"/>
    </xf>
    <xf numFmtId="166" fontId="7" fillId="3" borderId="2" xfId="0" applyNumberFormat="1" applyFont="1" applyFill="1" applyBorder="1" applyAlignment="1">
      <alignment vertical="center" wrapText="1"/>
    </xf>
    <xf numFmtId="166" fontId="7" fillId="2" borderId="2" xfId="0" applyNumberFormat="1" applyFont="1" applyFill="1" applyBorder="1" applyAlignment="1">
      <alignment horizontal="right" vertical="center" wrapText="1"/>
    </xf>
    <xf numFmtId="166" fontId="7" fillId="6" borderId="2" xfId="0" applyNumberFormat="1" applyFont="1" applyFill="1" applyBorder="1" applyAlignment="1">
      <alignment vertical="center" wrapText="1"/>
    </xf>
    <xf numFmtId="166" fontId="7" fillId="6" borderId="2" xfId="0" applyNumberFormat="1" applyFont="1" applyFill="1" applyBorder="1" applyAlignment="1">
      <alignment horizontal="right" vertical="center" wrapText="1"/>
    </xf>
    <xf numFmtId="0" fontId="9" fillId="3" borderId="0" xfId="0" applyFont="1" applyFill="1" applyAlignment="1">
      <alignment vertical="top" wrapText="1"/>
    </xf>
    <xf numFmtId="0" fontId="1" fillId="3" borderId="0" xfId="0" applyFont="1" applyFill="1"/>
    <xf numFmtId="0" fontId="7" fillId="3" borderId="2" xfId="0" applyFont="1" applyFill="1" applyBorder="1" applyAlignment="1">
      <alignment horizontal="center" vertical="center" wrapText="1"/>
    </xf>
    <xf numFmtId="2" fontId="0" fillId="0" borderId="0" xfId="0" applyNumberFormat="1"/>
    <xf numFmtId="4" fontId="0" fillId="0" borderId="0" xfId="0" applyNumberFormat="1"/>
    <xf numFmtId="0" fontId="5" fillId="0" borderId="0" xfId="0" applyFont="1" applyAlignment="1">
      <alignment vertical="top"/>
    </xf>
    <xf numFmtId="44" fontId="5" fillId="2" borderId="0" xfId="0" applyNumberFormat="1" applyFont="1" applyFill="1"/>
    <xf numFmtId="0" fontId="5" fillId="3" borderId="0" xfId="0" applyFont="1" applyFill="1" applyAlignment="1">
      <alignment wrapText="1"/>
    </xf>
    <xf numFmtId="0" fontId="0" fillId="5" borderId="9" xfId="0" applyFill="1" applyBorder="1" applyAlignment="1">
      <alignment wrapText="1"/>
    </xf>
    <xf numFmtId="10" fontId="0" fillId="5" borderId="9" xfId="0" applyNumberFormat="1" applyFill="1" applyBorder="1"/>
    <xf numFmtId="165" fontId="0" fillId="5" borderId="11" xfId="0" applyNumberFormat="1" applyFill="1" applyBorder="1"/>
    <xf numFmtId="0" fontId="0" fillId="0" borderId="9" xfId="0" applyBorder="1"/>
    <xf numFmtId="10" fontId="0" fillId="0" borderId="9" xfId="0" applyNumberFormat="1" applyBorder="1"/>
    <xf numFmtId="165" fontId="0" fillId="0" borderId="11" xfId="0" applyNumberFormat="1" applyBorder="1"/>
    <xf numFmtId="0" fontId="0" fillId="5" borderId="9" xfId="0" applyFill="1" applyBorder="1"/>
    <xf numFmtId="0" fontId="0" fillId="0" borderId="7" xfId="0" applyBorder="1" applyAlignment="1">
      <alignment wrapText="1"/>
    </xf>
    <xf numFmtId="0" fontId="0" fillId="0" borderId="7" xfId="0" applyBorder="1"/>
    <xf numFmtId="165" fontId="0" fillId="0" borderId="6" xfId="0" applyNumberFormat="1" applyBorder="1"/>
    <xf numFmtId="166" fontId="8" fillId="9" borderId="2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7" fontId="1" fillId="0" borderId="2" xfId="0" applyNumberFormat="1" applyFont="1" applyBorder="1" applyAlignment="1">
      <alignment horizontal="left" vertical="center" indent="1"/>
    </xf>
    <xf numFmtId="167" fontId="10" fillId="0" borderId="2" xfId="0" applyNumberFormat="1" applyFont="1" applyBorder="1" applyAlignment="1">
      <alignment horizontal="left" vertical="center" indent="1"/>
    </xf>
    <xf numFmtId="2" fontId="11" fillId="0" borderId="2" xfId="0" applyNumberFormat="1" applyFont="1" applyBorder="1" applyAlignment="1">
      <alignment horizontal="left" vertical="center" indent="1"/>
    </xf>
    <xf numFmtId="0" fontId="10" fillId="15" borderId="8" xfId="0" applyFont="1" applyFill="1" applyBorder="1" applyAlignment="1">
      <alignment horizontal="justify" vertical="center"/>
    </xf>
    <xf numFmtId="0" fontId="10" fillId="15" borderId="4" xfId="0" applyFont="1" applyFill="1" applyBorder="1" applyAlignment="1">
      <alignment horizontal="justify" vertical="center"/>
    </xf>
    <xf numFmtId="0" fontId="10" fillId="15" borderId="13" xfId="0" applyFont="1" applyFill="1" applyBorder="1" applyAlignment="1">
      <alignment horizontal="justify" vertical="center"/>
    </xf>
    <xf numFmtId="167" fontId="11" fillId="0" borderId="2" xfId="0" applyNumberFormat="1" applyFont="1" applyBorder="1" applyAlignment="1">
      <alignment horizontal="left" vertical="center" indent="1"/>
    </xf>
    <xf numFmtId="2" fontId="0" fillId="0" borderId="2" xfId="0" applyNumberFormat="1" applyBorder="1" applyAlignment="1">
      <alignment horizontal="left" vertical="center" indent="1"/>
    </xf>
    <xf numFmtId="167" fontId="0" fillId="0" borderId="2" xfId="0" applyNumberFormat="1" applyBorder="1" applyAlignment="1">
      <alignment horizontal="left" vertical="center" indent="1"/>
    </xf>
    <xf numFmtId="168" fontId="0" fillId="3" borderId="0" xfId="3" applyNumberFormat="1" applyFont="1" applyFill="1"/>
    <xf numFmtId="169" fontId="0" fillId="3" borderId="0" xfId="0" applyNumberFormat="1" applyFill="1"/>
    <xf numFmtId="169" fontId="1" fillId="3" borderId="0" xfId="0" applyNumberFormat="1" applyFont="1" applyFill="1"/>
    <xf numFmtId="170" fontId="0" fillId="3" borderId="0" xfId="0" applyNumberFormat="1" applyFill="1"/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2" fontId="8" fillId="6" borderId="2" xfId="0" applyNumberFormat="1" applyFont="1" applyFill="1" applyBorder="1" applyAlignment="1">
      <alignment horizontal="right" vertical="center" wrapText="1"/>
    </xf>
    <xf numFmtId="44" fontId="5" fillId="2" borderId="2" xfId="0" applyNumberFormat="1" applyFont="1" applyFill="1" applyBorder="1"/>
    <xf numFmtId="10" fontId="0" fillId="5" borderId="11" xfId="0" applyNumberFormat="1" applyFill="1" applyBorder="1"/>
    <xf numFmtId="10" fontId="0" fillId="0" borderId="11" xfId="0" applyNumberFormat="1" applyBorder="1"/>
    <xf numFmtId="0" fontId="0" fillId="0" borderId="6" xfId="0" applyBorder="1"/>
    <xf numFmtId="165" fontId="0" fillId="5" borderId="2" xfId="0" applyNumberFormat="1" applyFill="1" applyBorder="1"/>
    <xf numFmtId="165" fontId="0" fillId="0" borderId="2" xfId="0" applyNumberFormat="1" applyBorder="1"/>
    <xf numFmtId="0" fontId="13" fillId="0" borderId="0" xfId="0" applyFont="1"/>
    <xf numFmtId="0" fontId="13" fillId="0" borderId="0" xfId="0" applyFont="1" applyAlignment="1">
      <alignment wrapText="1"/>
    </xf>
    <xf numFmtId="44" fontId="0" fillId="0" borderId="0" xfId="0" applyNumberFormat="1"/>
    <xf numFmtId="0" fontId="13" fillId="0" borderId="0" xfId="0" applyFont="1" applyAlignment="1">
      <alignment vertical="top"/>
    </xf>
    <xf numFmtId="44" fontId="5" fillId="2" borderId="3" xfId="0" applyNumberFormat="1" applyFont="1" applyFill="1" applyBorder="1"/>
    <xf numFmtId="10" fontId="5" fillId="5" borderId="7" xfId="0" applyNumberFormat="1" applyFont="1" applyFill="1" applyBorder="1"/>
    <xf numFmtId="165" fontId="5" fillId="5" borderId="11" xfId="0" applyNumberFormat="1" applyFont="1" applyFill="1" applyBorder="1"/>
    <xf numFmtId="171" fontId="0" fillId="3" borderId="0" xfId="0" applyNumberFormat="1" applyFill="1"/>
    <xf numFmtId="171" fontId="8" fillId="2" borderId="2" xfId="0" applyNumberFormat="1" applyFont="1" applyFill="1" applyBorder="1" applyAlignment="1">
      <alignment horizontal="right" vertical="center" wrapText="1"/>
    </xf>
    <xf numFmtId="171" fontId="7" fillId="0" borderId="2" xfId="0" applyNumberFormat="1" applyFont="1" applyFill="1" applyBorder="1" applyAlignment="1">
      <alignment vertical="center" wrapText="1"/>
    </xf>
    <xf numFmtId="0" fontId="10" fillId="15" borderId="4" xfId="0" applyNumberFormat="1" applyFont="1" applyFill="1" applyBorder="1" applyAlignment="1">
      <alignment horizontal="justify" vertical="center"/>
    </xf>
    <xf numFmtId="0" fontId="11" fillId="0" borderId="2" xfId="0" applyNumberFormat="1" applyFont="1" applyBorder="1" applyAlignment="1">
      <alignment horizontal="left" vertical="center" indent="1"/>
    </xf>
    <xf numFmtId="0" fontId="7" fillId="3" borderId="1" xfId="0" applyFont="1" applyFill="1" applyBorder="1" applyAlignment="1">
      <alignment horizontal="justify" vertical="center" wrapText="1"/>
    </xf>
    <xf numFmtId="0" fontId="7" fillId="3" borderId="5" xfId="0" applyFont="1" applyFill="1" applyBorder="1" applyAlignment="1">
      <alignment horizontal="justify" vertical="center" wrapText="1"/>
    </xf>
    <xf numFmtId="0" fontId="7" fillId="3" borderId="12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1" fillId="0" borderId="0" xfId="0" applyFont="1" applyAlignment="1">
      <alignment horizontal="center"/>
    </xf>
  </cellXfs>
  <cellStyles count="4">
    <cellStyle name="Dziesiętny" xfId="3" builtinId="3"/>
    <cellStyle name="Normalny" xfId="0" builtinId="0"/>
    <cellStyle name="Normalny 2" xfId="1" xr:uid="{00000000-0005-0000-0000-000002000000}"/>
    <cellStyle name="Normalny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workbookViewId="0">
      <selection activeCell="C22" sqref="C17:C22"/>
    </sheetView>
  </sheetViews>
  <sheetFormatPr defaultColWidth="9.109375" defaultRowHeight="14.4"/>
  <cols>
    <col min="1" max="1" width="43" style="5" customWidth="1"/>
    <col min="2" max="11" width="11.44140625" style="5" customWidth="1"/>
    <col min="12" max="12" width="14.33203125" style="49" customWidth="1"/>
    <col min="13" max="14" width="3.6640625" style="5" customWidth="1"/>
    <col min="15" max="16384" width="9.109375" style="5"/>
  </cols>
  <sheetData>
    <row r="1" spans="1:14">
      <c r="A1" s="103" t="s">
        <v>60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  <c r="N1" s="6"/>
    </row>
    <row r="2" spans="1:14">
      <c r="A2" s="106" t="s">
        <v>59</v>
      </c>
      <c r="B2" s="82"/>
      <c r="C2" s="107"/>
      <c r="D2" s="107"/>
      <c r="E2" s="107"/>
      <c r="F2" s="107"/>
      <c r="G2" s="107"/>
      <c r="H2" s="107"/>
      <c r="I2" s="107"/>
      <c r="J2" s="107"/>
      <c r="K2" s="107"/>
      <c r="L2" s="107"/>
      <c r="N2" s="6"/>
    </row>
    <row r="3" spans="1:14" ht="27.75" customHeight="1">
      <c r="A3" s="106"/>
      <c r="B3" s="83" t="s">
        <v>10</v>
      </c>
      <c r="C3" s="83" t="s">
        <v>11</v>
      </c>
      <c r="D3" s="83" t="s">
        <v>12</v>
      </c>
      <c r="E3" s="83" t="s">
        <v>13</v>
      </c>
      <c r="F3" s="83" t="s">
        <v>15</v>
      </c>
      <c r="G3" s="83" t="s">
        <v>16</v>
      </c>
      <c r="H3" s="83" t="s">
        <v>17</v>
      </c>
      <c r="I3" s="83" t="s">
        <v>18</v>
      </c>
      <c r="J3" s="83" t="s">
        <v>19</v>
      </c>
      <c r="K3" s="83" t="s">
        <v>20</v>
      </c>
      <c r="L3" s="50" t="s">
        <v>4</v>
      </c>
      <c r="N3" s="6"/>
    </row>
    <row r="4" spans="1:14" ht="30" customHeight="1">
      <c r="A4" s="7" t="s">
        <v>3</v>
      </c>
      <c r="B4" s="100">
        <f t="shared" ref="B4:K4" si="0">SUM(B5:B9)</f>
        <v>2.2200000000000002E-3</v>
      </c>
      <c r="C4" s="44">
        <f t="shared" si="0"/>
        <v>0.73549724212500001</v>
      </c>
      <c r="D4" s="44">
        <f t="shared" si="0"/>
        <v>0.77227210423125003</v>
      </c>
      <c r="E4" s="44">
        <f t="shared" si="0"/>
        <v>0.81088570944281257</v>
      </c>
      <c r="F4" s="44">
        <f t="shared" si="0"/>
        <v>0.85142999491495308</v>
      </c>
      <c r="G4" s="44">
        <f t="shared" si="0"/>
        <v>0.89400149466070078</v>
      </c>
      <c r="H4" s="44">
        <f t="shared" si="0"/>
        <v>0.93870156939373595</v>
      </c>
      <c r="I4" s="44">
        <f t="shared" si="0"/>
        <v>0.98563664786342287</v>
      </c>
      <c r="J4" s="44">
        <f t="shared" si="0"/>
        <v>1.0349184802565938</v>
      </c>
      <c r="K4" s="44">
        <f t="shared" si="0"/>
        <v>1.0866644042694238</v>
      </c>
      <c r="L4" s="44">
        <f t="shared" ref="L4:L15" si="1">SUM(C4:K4)</f>
        <v>8.110007647157893</v>
      </c>
      <c r="N4" s="6"/>
    </row>
    <row r="5" spans="1:14" ht="30" customHeight="1">
      <c r="A5" s="39" t="s">
        <v>64</v>
      </c>
      <c r="B5" s="84">
        <f>('etat PCA'!C22*12/1000000)</f>
        <v>4.44E-4</v>
      </c>
      <c r="C5" s="41">
        <f>(('etaty UM'!D17*12/1000000*1.025)+('etat MI'!C17*12/1000000*1.025))*0.915+('etat PCA'!C22*12/1000000*1.025)</f>
        <v>5.7222797999999991E-2</v>
      </c>
      <c r="D5" s="41">
        <f>C5*1.05</f>
        <v>6.0083937899999995E-2</v>
      </c>
      <c r="E5" s="41">
        <f t="shared" ref="E5:K9" si="2">D5*1.05</f>
        <v>6.3088134795E-2</v>
      </c>
      <c r="F5" s="41">
        <f t="shared" si="2"/>
        <v>6.624254153475001E-2</v>
      </c>
      <c r="G5" s="41">
        <f t="shared" si="2"/>
        <v>6.9554668611487513E-2</v>
      </c>
      <c r="H5" s="41">
        <f t="shared" si="2"/>
        <v>7.3032402042061892E-2</v>
      </c>
      <c r="I5" s="41">
        <f t="shared" si="2"/>
        <v>7.668402214416499E-2</v>
      </c>
      <c r="J5" s="41">
        <f t="shared" si="2"/>
        <v>8.0518223251373242E-2</v>
      </c>
      <c r="K5" s="41">
        <f t="shared" si="2"/>
        <v>8.4544134413941902E-2</v>
      </c>
      <c r="L5" s="47">
        <f t="shared" si="1"/>
        <v>0.63097086269277958</v>
      </c>
      <c r="N5" s="6"/>
    </row>
    <row r="6" spans="1:14" ht="30" customHeight="1">
      <c r="A6" s="39" t="s">
        <v>7</v>
      </c>
      <c r="B6" s="84">
        <f>('etat PCA'!C22*12/1000000)</f>
        <v>4.44E-4</v>
      </c>
      <c r="C6" s="41">
        <f>(('etaty UM'!D16*12/1000000*1.025)+('etat MI'!C16*12/1000000*1.025))*0.915+('etat PCA'!C20*12/1000000*1.025)</f>
        <v>0.11223024299999999</v>
      </c>
      <c r="D6" s="41">
        <f>C6*1.05</f>
        <v>0.11784175515</v>
      </c>
      <c r="E6" s="41">
        <f t="shared" si="2"/>
        <v>0.12373384290750002</v>
      </c>
      <c r="F6" s="41">
        <f t="shared" si="2"/>
        <v>0.12992053505287501</v>
      </c>
      <c r="G6" s="41">
        <f t="shared" si="2"/>
        <v>0.13641656180551878</v>
      </c>
      <c r="H6" s="41">
        <f t="shared" si="2"/>
        <v>0.14323738989579474</v>
      </c>
      <c r="I6" s="41">
        <f t="shared" si="2"/>
        <v>0.15039925939058449</v>
      </c>
      <c r="J6" s="41">
        <f t="shared" si="2"/>
        <v>0.15791922236011371</v>
      </c>
      <c r="K6" s="41">
        <f t="shared" si="2"/>
        <v>0.16581518347811941</v>
      </c>
      <c r="L6" s="47">
        <f t="shared" si="1"/>
        <v>1.2375139930405061</v>
      </c>
      <c r="N6" s="6"/>
    </row>
    <row r="7" spans="1:14" ht="30" customHeight="1">
      <c r="A7" s="39" t="s">
        <v>8</v>
      </c>
      <c r="B7" s="84">
        <f>('etat PCA'!C22*12/1000000)</f>
        <v>4.44E-4</v>
      </c>
      <c r="C7" s="41">
        <f>(('etaty UM'!D14*12/1000000*1.025)+('etat MI'!C14*12/1000000*1.025))*0.915+('etat PCA'!C18*12/1000000*1.025)</f>
        <v>0.44754583199999998</v>
      </c>
      <c r="D7" s="41">
        <f>C7*1.05</f>
        <v>0.46992312359999999</v>
      </c>
      <c r="E7" s="41">
        <f t="shared" si="2"/>
        <v>0.49341927978</v>
      </c>
      <c r="F7" s="41">
        <f t="shared" si="2"/>
        <v>0.51809024376900004</v>
      </c>
      <c r="G7" s="41">
        <f t="shared" si="2"/>
        <v>0.54399475595745006</v>
      </c>
      <c r="H7" s="41">
        <f t="shared" si="2"/>
        <v>0.57119449375532261</v>
      </c>
      <c r="I7" s="41">
        <f t="shared" si="2"/>
        <v>0.59975421844308874</v>
      </c>
      <c r="J7" s="41">
        <f t="shared" si="2"/>
        <v>0.6297419293652432</v>
      </c>
      <c r="K7" s="41">
        <f t="shared" si="2"/>
        <v>0.6612290258335054</v>
      </c>
      <c r="L7" s="47">
        <f t="shared" si="1"/>
        <v>4.9348929025036101</v>
      </c>
      <c r="N7" s="6"/>
    </row>
    <row r="8" spans="1:14" ht="30" customHeight="1">
      <c r="A8" s="39" t="s">
        <v>9</v>
      </c>
      <c r="B8" s="84">
        <f>('etat PCA'!C22*12/1000000)</f>
        <v>4.44E-4</v>
      </c>
      <c r="C8" s="41">
        <f>(('etaty UM'!D15*15/1000000*1.025)+('etat MI'!C15*12/1000000*1.025))*0.915+('etat PCA'!C19*12/1000000*1.025)</f>
        <v>4.2975830999999999E-2</v>
      </c>
      <c r="D8" s="41">
        <f>C8*1.05</f>
        <v>4.512462255E-2</v>
      </c>
      <c r="E8" s="41">
        <f t="shared" si="2"/>
        <v>4.7380853677500001E-2</v>
      </c>
      <c r="F8" s="41">
        <f t="shared" si="2"/>
        <v>4.9749896361375001E-2</v>
      </c>
      <c r="G8" s="41">
        <f t="shared" si="2"/>
        <v>5.2237391179443753E-2</v>
      </c>
      <c r="H8" s="41">
        <f t="shared" si="2"/>
        <v>5.4849260738415943E-2</v>
      </c>
      <c r="I8" s="41">
        <f t="shared" si="2"/>
        <v>5.7591723775336744E-2</v>
      </c>
      <c r="J8" s="41">
        <f t="shared" si="2"/>
        <v>6.0471309964103583E-2</v>
      </c>
      <c r="K8" s="41">
        <f t="shared" si="2"/>
        <v>6.3494875462308767E-2</v>
      </c>
      <c r="L8" s="47">
        <f t="shared" si="1"/>
        <v>0.4738757647084838</v>
      </c>
      <c r="N8" s="6"/>
    </row>
    <row r="9" spans="1:14" ht="30" customHeight="1">
      <c r="A9" s="8" t="s">
        <v>14</v>
      </c>
      <c r="B9" s="84">
        <f>('etat PCA'!C22*12/1000000)</f>
        <v>4.44E-4</v>
      </c>
      <c r="C9" s="41">
        <f>(('etaty UM'!D18*15/1000000*1.025)+('etat MI'!C18*12/1000000*1.025))*0.915+('etat PCA'!C23*12/1000000*1.025)</f>
        <v>7.5522538124999983E-2</v>
      </c>
      <c r="D9" s="41">
        <f>C9*1.05</f>
        <v>7.9298665031249979E-2</v>
      </c>
      <c r="E9" s="41">
        <f t="shared" si="2"/>
        <v>8.3263598282812476E-2</v>
      </c>
      <c r="F9" s="41">
        <f t="shared" si="2"/>
        <v>8.7426778196953103E-2</v>
      </c>
      <c r="G9" s="41">
        <f t="shared" si="2"/>
        <v>9.1798117106800761E-2</v>
      </c>
      <c r="H9" s="41">
        <f t="shared" si="2"/>
        <v>9.6388022962140801E-2</v>
      </c>
      <c r="I9" s="41">
        <f t="shared" si="2"/>
        <v>0.10120742411024784</v>
      </c>
      <c r="J9" s="41">
        <f t="shared" si="2"/>
        <v>0.10626779531576024</v>
      </c>
      <c r="K9" s="41">
        <f t="shared" si="2"/>
        <v>0.11158118508154825</v>
      </c>
      <c r="L9" s="46">
        <f t="shared" si="1"/>
        <v>0.83275412421251349</v>
      </c>
      <c r="N9" s="108"/>
    </row>
    <row r="10" spans="1:14" ht="30" customHeight="1">
      <c r="A10" s="9" t="s">
        <v>2</v>
      </c>
      <c r="B10" s="100">
        <f>SUM(B11:B13)</f>
        <v>6.4106969999999999E-2</v>
      </c>
      <c r="C10" s="100">
        <f t="shared" ref="C10:L10" si="3">SUM(C11:C13)</f>
        <v>1.7400924795900004</v>
      </c>
      <c r="D10" s="100">
        <f t="shared" si="3"/>
        <v>1.9431023853562501</v>
      </c>
      <c r="E10" s="100">
        <f t="shared" si="3"/>
        <v>1.9916799449901563</v>
      </c>
      <c r="F10" s="100">
        <f t="shared" si="3"/>
        <v>2.0414719436149102</v>
      </c>
      <c r="G10" s="100">
        <f t="shared" si="3"/>
        <v>2.0925087422052826</v>
      </c>
      <c r="H10" s="100">
        <f t="shared" si="3"/>
        <v>2.1448214607604146</v>
      </c>
      <c r="I10" s="100">
        <f t="shared" si="3"/>
        <v>2.1984419972794251</v>
      </c>
      <c r="J10" s="100">
        <f t="shared" si="3"/>
        <v>2.2534030472114104</v>
      </c>
      <c r="K10" s="100">
        <f t="shared" si="3"/>
        <v>2.3097381233916954</v>
      </c>
      <c r="L10" s="100">
        <f t="shared" si="3"/>
        <v>18.715260124399546</v>
      </c>
      <c r="N10" s="108"/>
    </row>
    <row r="11" spans="1:14" ht="30" customHeight="1">
      <c r="A11" s="40" t="s">
        <v>63</v>
      </c>
      <c r="B11" s="99">
        <v>0</v>
      </c>
      <c r="C11" s="42">
        <f>('etat MI'!C12/1000000*1.025)*0.915</f>
        <v>0.18842283900000001</v>
      </c>
      <c r="D11" s="42">
        <f>0.206*1.025</f>
        <v>0.21114999999999998</v>
      </c>
      <c r="E11" s="42">
        <f t="shared" ref="E11:K11" si="4">D11*1.025</f>
        <v>0.21642874999999995</v>
      </c>
      <c r="F11" s="42">
        <f t="shared" si="4"/>
        <v>0.22183946874999994</v>
      </c>
      <c r="G11" s="42">
        <f t="shared" si="4"/>
        <v>0.22738545546874991</v>
      </c>
      <c r="H11" s="42">
        <f t="shared" si="4"/>
        <v>0.23307009185546865</v>
      </c>
      <c r="I11" s="42">
        <f t="shared" si="4"/>
        <v>0.23889684415185533</v>
      </c>
      <c r="J11" s="42">
        <f t="shared" si="4"/>
        <v>0.2448692652556517</v>
      </c>
      <c r="K11" s="42">
        <f t="shared" si="4"/>
        <v>0.25099099688704296</v>
      </c>
      <c r="L11" s="45">
        <f t="shared" si="1"/>
        <v>2.0330537113687681</v>
      </c>
      <c r="N11" s="6"/>
    </row>
    <row r="12" spans="1:14" ht="30" customHeight="1">
      <c r="A12" s="40" t="s">
        <v>62</v>
      </c>
      <c r="B12" s="99">
        <v>0</v>
      </c>
      <c r="C12" s="42">
        <f>('etaty UM'!D12/1000000*1.025)*0.915</f>
        <v>1.4859599963400003</v>
      </c>
      <c r="D12" s="42">
        <f>1.624*1.025</f>
        <v>1.6646000000000001</v>
      </c>
      <c r="E12" s="42">
        <f t="shared" ref="E12:E13" si="5">D12*1.025</f>
        <v>1.706215</v>
      </c>
      <c r="F12" s="42">
        <f t="shared" ref="F12:F13" si="6">E12*1.025</f>
        <v>1.7488703749999999</v>
      </c>
      <c r="G12" s="42">
        <f t="shared" ref="G12:G13" si="7">F12*1.025</f>
        <v>1.7925921343749998</v>
      </c>
      <c r="H12" s="42">
        <f t="shared" ref="H12:H13" si="8">G12*1.025</f>
        <v>1.8374069377343747</v>
      </c>
      <c r="I12" s="42">
        <f t="shared" ref="I12:I13" si="9">H12*1.025</f>
        <v>1.883342111177734</v>
      </c>
      <c r="J12" s="42">
        <f t="shared" ref="J12:J13" si="10">I12*1.025</f>
        <v>1.9304256639571771</v>
      </c>
      <c r="K12" s="42">
        <f t="shared" ref="K12:K13" si="11">J12*1.025</f>
        <v>1.9786863055561064</v>
      </c>
      <c r="L12" s="45">
        <f t="shared" si="1"/>
        <v>16.028098524140393</v>
      </c>
      <c r="N12" s="6"/>
    </row>
    <row r="13" spans="1:14" ht="30" customHeight="1">
      <c r="A13" s="40" t="s">
        <v>71</v>
      </c>
      <c r="B13" s="99">
        <f>('etat PCA'!C16/1000000)</f>
        <v>6.4106969999999999E-2</v>
      </c>
      <c r="C13" s="42">
        <f>B13*1.025</f>
        <v>6.5709644249999991E-2</v>
      </c>
      <c r="D13" s="42">
        <f t="shared" ref="D13" si="12">C13*1.025</f>
        <v>6.7352385356249989E-2</v>
      </c>
      <c r="E13" s="42">
        <f t="shared" si="5"/>
        <v>6.903619499015623E-2</v>
      </c>
      <c r="F13" s="42">
        <f t="shared" si="6"/>
        <v>7.0762099864910125E-2</v>
      </c>
      <c r="G13" s="42">
        <f t="shared" si="7"/>
        <v>7.2531152361532875E-2</v>
      </c>
      <c r="H13" s="42">
        <f t="shared" si="8"/>
        <v>7.4344431170571185E-2</v>
      </c>
      <c r="I13" s="42">
        <f t="shared" si="9"/>
        <v>7.6203041949835459E-2</v>
      </c>
      <c r="J13" s="42">
        <f t="shared" si="10"/>
        <v>7.8108117998581333E-2</v>
      </c>
      <c r="K13" s="42">
        <f t="shared" si="11"/>
        <v>8.0060820948545858E-2</v>
      </c>
      <c r="L13" s="45">
        <f t="shared" si="1"/>
        <v>0.65410788889038307</v>
      </c>
      <c r="N13" s="6"/>
    </row>
    <row r="14" spans="1:14" ht="30" customHeight="1">
      <c r="A14" s="10" t="s">
        <v>1</v>
      </c>
      <c r="B14" s="100">
        <f t="shared" ref="B14:K14" si="13">B4-B10</f>
        <v>-6.1886969999999999E-2</v>
      </c>
      <c r="C14" s="44">
        <f t="shared" si="13"/>
        <v>-1.0045952374650002</v>
      </c>
      <c r="D14" s="44">
        <f t="shared" si="13"/>
        <v>-1.1708302811250002</v>
      </c>
      <c r="E14" s="44">
        <f t="shared" si="13"/>
        <v>-1.1807942355473438</v>
      </c>
      <c r="F14" s="44">
        <f t="shared" si="13"/>
        <v>-1.1900419486999572</v>
      </c>
      <c r="G14" s="44">
        <f t="shared" si="13"/>
        <v>-1.1985072475445819</v>
      </c>
      <c r="H14" s="44">
        <f t="shared" si="13"/>
        <v>-1.2061198913666786</v>
      </c>
      <c r="I14" s="44">
        <f t="shared" si="13"/>
        <v>-1.2128053494160023</v>
      </c>
      <c r="J14" s="44">
        <f t="shared" si="13"/>
        <v>-1.2184845669548166</v>
      </c>
      <c r="K14" s="44">
        <f t="shared" si="13"/>
        <v>-1.2230737191222716</v>
      </c>
      <c r="L14" s="44">
        <f t="shared" si="1"/>
        <v>-10.605252477241653</v>
      </c>
      <c r="N14" s="6"/>
    </row>
    <row r="15" spans="1:14" ht="30" customHeight="1">
      <c r="A15" s="33" t="s">
        <v>0</v>
      </c>
      <c r="B15" s="33">
        <v>0</v>
      </c>
      <c r="C15" s="66">
        <f>C9</f>
        <v>7.5522538124999983E-2</v>
      </c>
      <c r="D15" s="66">
        <f t="shared" ref="D15:K15" si="14">D9</f>
        <v>7.9298665031249979E-2</v>
      </c>
      <c r="E15" s="66">
        <f t="shared" si="14"/>
        <v>8.3263598282812476E-2</v>
      </c>
      <c r="F15" s="66">
        <f t="shared" si="14"/>
        <v>8.7426778196953103E-2</v>
      </c>
      <c r="G15" s="66">
        <f t="shared" si="14"/>
        <v>9.1798117106800761E-2</v>
      </c>
      <c r="H15" s="66">
        <f t="shared" si="14"/>
        <v>9.6388022962140801E-2</v>
      </c>
      <c r="I15" s="66">
        <f t="shared" si="14"/>
        <v>0.10120742411024784</v>
      </c>
      <c r="J15" s="66">
        <f t="shared" si="14"/>
        <v>0.10626779531576024</v>
      </c>
      <c r="K15" s="66">
        <f t="shared" si="14"/>
        <v>0.11158118508154825</v>
      </c>
      <c r="L15" s="43">
        <f t="shared" si="1"/>
        <v>0.83275412421251349</v>
      </c>
      <c r="N15" s="6"/>
    </row>
    <row r="17" spans="3:13">
      <c r="D17" s="98"/>
    </row>
    <row r="18" spans="3:13">
      <c r="C18" s="78"/>
      <c r="D18" s="79"/>
      <c r="E18" s="78"/>
      <c r="F18" s="79"/>
      <c r="G18" s="79"/>
      <c r="H18" s="79"/>
      <c r="I18" s="79"/>
      <c r="J18" s="79"/>
      <c r="K18" s="79"/>
      <c r="L18" s="80"/>
    </row>
    <row r="20" spans="3:13">
      <c r="D20" s="79"/>
      <c r="E20" s="81"/>
    </row>
    <row r="21" spans="3:13" ht="16.5" customHeight="1">
      <c r="I21" s="1"/>
      <c r="J21" s="1"/>
      <c r="K21" s="1"/>
      <c r="L21" s="48"/>
      <c r="M21" s="1"/>
    </row>
    <row r="22" spans="3:13" ht="17.25" customHeight="1">
      <c r="I22" s="1"/>
      <c r="J22" s="1"/>
      <c r="K22" s="1"/>
      <c r="L22" s="48"/>
      <c r="M22" s="1"/>
    </row>
    <row r="29" spans="3:13">
      <c r="C29" s="6"/>
      <c r="D29" s="6"/>
    </row>
    <row r="30" spans="3:13">
      <c r="C30" s="6"/>
      <c r="D30" s="6"/>
    </row>
    <row r="31" spans="3:13">
      <c r="C31" s="6"/>
      <c r="D31" s="6"/>
    </row>
  </sheetData>
  <mergeCells count="4">
    <mergeCell ref="A1:L1"/>
    <mergeCell ref="A2:A3"/>
    <mergeCell ref="C2:L2"/>
    <mergeCell ref="N9:N10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topLeftCell="A10" workbookViewId="0">
      <selection activeCell="B4" sqref="B4"/>
    </sheetView>
  </sheetViews>
  <sheetFormatPr defaultRowHeight="14.4"/>
  <cols>
    <col min="1" max="1" width="63.6640625" customWidth="1"/>
    <col min="2" max="2" width="36.44140625" customWidth="1"/>
    <col min="3" max="3" width="16.6640625" customWidth="1"/>
    <col min="4" max="4" width="16.5546875" customWidth="1"/>
    <col min="8" max="9" width="10" bestFit="1" customWidth="1"/>
  </cols>
  <sheetData>
    <row r="1" spans="1:9">
      <c r="A1" s="12" t="s">
        <v>32</v>
      </c>
    </row>
    <row r="2" spans="1:9">
      <c r="A2" s="27" t="s">
        <v>33</v>
      </c>
      <c r="B2" s="27" t="s">
        <v>34</v>
      </c>
      <c r="C2" s="28" t="s">
        <v>35</v>
      </c>
      <c r="D2" s="28" t="s">
        <v>73</v>
      </c>
    </row>
    <row r="3" spans="1:9">
      <c r="A3" s="13" t="s">
        <v>36</v>
      </c>
      <c r="B3" s="15"/>
      <c r="C3" s="16">
        <f>C4-C14</f>
        <v>8458.2800000000007</v>
      </c>
      <c r="D3" s="4">
        <f t="shared" ref="D3:D12" si="0">C3*9</f>
        <v>76124.52</v>
      </c>
    </row>
    <row r="4" spans="1:9" ht="48" customHeight="1">
      <c r="A4" s="17" t="s">
        <v>37</v>
      </c>
      <c r="B4" s="17" t="s">
        <v>72</v>
      </c>
      <c r="C4" s="18">
        <v>12254.28</v>
      </c>
      <c r="D4" s="29">
        <f t="shared" si="0"/>
        <v>110288.52</v>
      </c>
    </row>
    <row r="5" spans="1:9" ht="30" customHeight="1">
      <c r="A5" s="19" t="s">
        <v>38</v>
      </c>
      <c r="B5" s="20">
        <v>0.17269999999999999</v>
      </c>
      <c r="C5" s="16">
        <f>ROUND($C$4*B5,0)</f>
        <v>2116</v>
      </c>
      <c r="D5" s="4">
        <f t="shared" si="0"/>
        <v>19044</v>
      </c>
    </row>
    <row r="6" spans="1:9" ht="30" customHeight="1">
      <c r="A6" s="17" t="s">
        <v>39</v>
      </c>
      <c r="B6" s="21">
        <v>2.4500000000000001E-2</v>
      </c>
      <c r="C6" s="18">
        <f>ROUND($C$4*B6,0)</f>
        <v>300</v>
      </c>
      <c r="D6" s="29">
        <f t="shared" si="0"/>
        <v>2700</v>
      </c>
    </row>
    <row r="7" spans="1:9" ht="30" customHeight="1">
      <c r="A7" s="13" t="s">
        <v>40</v>
      </c>
      <c r="B7" s="22"/>
      <c r="C7" s="34">
        <f>SUM(C5:C6)</f>
        <v>2416</v>
      </c>
      <c r="D7" s="4">
        <f t="shared" si="0"/>
        <v>21744</v>
      </c>
      <c r="H7" s="52"/>
      <c r="I7" s="52"/>
    </row>
    <row r="8" spans="1:9" ht="30" customHeight="1">
      <c r="A8" s="23" t="s">
        <v>41</v>
      </c>
      <c r="B8" s="24">
        <f>9.76%+1.5%+2.45%</f>
        <v>0.1371</v>
      </c>
      <c r="C8" s="35">
        <f>ROUND($C$4*B8,0)</f>
        <v>1680</v>
      </c>
      <c r="D8" s="29">
        <f t="shared" si="0"/>
        <v>15120</v>
      </c>
      <c r="H8" s="52"/>
      <c r="I8" s="51"/>
    </row>
    <row r="9" spans="1:9" ht="30" customHeight="1">
      <c r="A9" s="19" t="s">
        <v>42</v>
      </c>
      <c r="B9" s="20">
        <v>0.09</v>
      </c>
      <c r="C9" s="16">
        <f>ROUND((C4-C8)*B9,0)</f>
        <v>952</v>
      </c>
      <c r="D9" s="4">
        <f t="shared" si="0"/>
        <v>8568</v>
      </c>
      <c r="H9" s="52"/>
      <c r="I9" s="52"/>
    </row>
    <row r="10" spans="1:9" ht="30" customHeight="1">
      <c r="A10" s="25" t="s">
        <v>43</v>
      </c>
      <c r="B10" s="26"/>
      <c r="C10" s="36">
        <f>ROUND(ROUND((C4-111.25-C8),0)*18/100-46.33-ROUND((C4-C8)*7.75/100,2),0)</f>
        <v>1018</v>
      </c>
      <c r="D10" s="29">
        <f t="shared" si="0"/>
        <v>9162</v>
      </c>
      <c r="H10" s="52"/>
      <c r="I10" s="52"/>
    </row>
    <row r="11" spans="1:9" ht="30" customHeight="1">
      <c r="A11" s="53"/>
      <c r="B11" s="14" t="s">
        <v>44</v>
      </c>
      <c r="C11" s="54">
        <f>C4+C7</f>
        <v>14670.28</v>
      </c>
      <c r="D11" s="31">
        <f t="shared" si="0"/>
        <v>132032.52000000002</v>
      </c>
    </row>
    <row r="12" spans="1:9" ht="30" customHeight="1">
      <c r="A12" s="55"/>
      <c r="B12" s="11" t="s">
        <v>45</v>
      </c>
      <c r="C12" s="37">
        <f>C11*12</f>
        <v>176043.36000000002</v>
      </c>
      <c r="D12" s="30">
        <f t="shared" si="0"/>
        <v>1584390.2400000002</v>
      </c>
    </row>
    <row r="13" spans="1:9" ht="30" customHeight="1">
      <c r="A13" s="109" t="s">
        <v>6</v>
      </c>
      <c r="B13" s="109"/>
      <c r="C13" s="109"/>
    </row>
    <row r="14" spans="1:9" ht="30" customHeight="1">
      <c r="A14" s="56" t="s">
        <v>46</v>
      </c>
      <c r="B14" s="57">
        <f>B5+B8</f>
        <v>0.30979999999999996</v>
      </c>
      <c r="C14" s="58">
        <f>C5+C8</f>
        <v>3796</v>
      </c>
      <c r="D14" s="38">
        <f>C14*9</f>
        <v>34164</v>
      </c>
    </row>
    <row r="15" spans="1:9" ht="30" customHeight="1">
      <c r="A15" s="59" t="s">
        <v>61</v>
      </c>
      <c r="B15" s="60">
        <f>B6</f>
        <v>2.4500000000000001E-2</v>
      </c>
      <c r="C15" s="61">
        <f>C6</f>
        <v>300</v>
      </c>
      <c r="D15" s="38">
        <f>C15*9</f>
        <v>2700</v>
      </c>
    </row>
    <row r="16" spans="1:9" ht="30" customHeight="1">
      <c r="A16" s="62" t="s">
        <v>47</v>
      </c>
      <c r="B16" s="57">
        <v>0.09</v>
      </c>
      <c r="C16" s="58">
        <f>C9</f>
        <v>952</v>
      </c>
      <c r="D16" s="38">
        <f>C16*9</f>
        <v>8568</v>
      </c>
    </row>
    <row r="17" spans="1:4" ht="30" customHeight="1">
      <c r="A17" s="63" t="s">
        <v>48</v>
      </c>
      <c r="B17" s="64"/>
      <c r="C17" s="65">
        <f>ROUND(C10*48.8%,0)</f>
        <v>497</v>
      </c>
      <c r="D17" s="38">
        <f>C17*9</f>
        <v>4473</v>
      </c>
    </row>
    <row r="18" spans="1:4" ht="30" customHeight="1">
      <c r="A18" s="3" t="s">
        <v>49</v>
      </c>
      <c r="B18" s="2"/>
      <c r="C18" s="38">
        <f>C10-C17</f>
        <v>521</v>
      </c>
      <c r="D18" s="38">
        <f>C18*9</f>
        <v>4689</v>
      </c>
    </row>
    <row r="19" spans="1:4">
      <c r="D19" s="32"/>
    </row>
  </sheetData>
  <mergeCells count="1">
    <mergeCell ref="A13:C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8"/>
  <sheetViews>
    <sheetView topLeftCell="A7" workbookViewId="0">
      <selection activeCell="A4" sqref="A4"/>
    </sheetView>
  </sheetViews>
  <sheetFormatPr defaultRowHeight="14.4"/>
  <cols>
    <col min="1" max="1" width="63.6640625" customWidth="1"/>
    <col min="2" max="2" width="36.44140625" customWidth="1"/>
    <col min="3" max="3" width="16.6640625" customWidth="1"/>
    <col min="6" max="6" width="10.6640625" bestFit="1" customWidth="1"/>
  </cols>
  <sheetData>
    <row r="1" spans="1:8">
      <c r="A1" s="12" t="s">
        <v>50</v>
      </c>
    </row>
    <row r="2" spans="1:8">
      <c r="A2" s="27" t="s">
        <v>51</v>
      </c>
      <c r="B2" s="27" t="s">
        <v>34</v>
      </c>
      <c r="C2" s="28" t="s">
        <v>35</v>
      </c>
    </row>
    <row r="3" spans="1:8">
      <c r="A3" s="13" t="s">
        <v>36</v>
      </c>
      <c r="B3" s="15"/>
      <c r="C3" s="16">
        <f>C4-C14</f>
        <v>9652</v>
      </c>
      <c r="E3" s="68"/>
      <c r="F3" s="68"/>
    </row>
    <row r="4" spans="1:8" ht="46.5" customHeight="1">
      <c r="A4" s="17" t="s">
        <v>37</v>
      </c>
      <c r="B4" s="17" t="s">
        <v>72</v>
      </c>
      <c r="C4" s="18">
        <v>13984</v>
      </c>
    </row>
    <row r="5" spans="1:8" ht="30" customHeight="1">
      <c r="A5" s="19" t="s">
        <v>38</v>
      </c>
      <c r="B5" s="20">
        <v>0.17269999999999999</v>
      </c>
      <c r="C5" s="16">
        <f>ROUND($C$4*B5,0)</f>
        <v>2415</v>
      </c>
    </row>
    <row r="6" spans="1:8" ht="30" customHeight="1">
      <c r="A6" s="17" t="s">
        <v>39</v>
      </c>
      <c r="B6" s="21">
        <v>2.4500000000000001E-2</v>
      </c>
      <c r="C6" s="18">
        <f>ROUND($C$4*B6,0)</f>
        <v>343</v>
      </c>
    </row>
    <row r="7" spans="1:8" ht="30" customHeight="1">
      <c r="A7" s="13" t="s">
        <v>40</v>
      </c>
      <c r="B7" s="22"/>
      <c r="C7" s="34">
        <f>SUM(C5:C6)</f>
        <v>2758</v>
      </c>
    </row>
    <row r="8" spans="1:8" ht="30" customHeight="1">
      <c r="A8" s="23" t="s">
        <v>41</v>
      </c>
      <c r="B8" s="24">
        <f>9.76%+1.5%+2.45%</f>
        <v>0.1371</v>
      </c>
      <c r="C8" s="35">
        <f>ROUND($C$4*B8,0)</f>
        <v>1917</v>
      </c>
      <c r="F8" s="67"/>
      <c r="H8" s="67"/>
    </row>
    <row r="9" spans="1:8" ht="30" customHeight="1">
      <c r="A9" s="19" t="s">
        <v>42</v>
      </c>
      <c r="B9" s="20">
        <v>0.09</v>
      </c>
      <c r="C9" s="16">
        <f>ROUND((C4-C8)*B9,0)</f>
        <v>1086</v>
      </c>
    </row>
    <row r="10" spans="1:8" ht="30" customHeight="1">
      <c r="A10" s="25" t="s">
        <v>43</v>
      </c>
      <c r="B10" s="26"/>
      <c r="C10" s="36">
        <f>ROUND(ROUND((C4-111.25-C8),0)*18/100-46.33-ROUND((C4-C8)*7.75/100,2),0)</f>
        <v>1171</v>
      </c>
    </row>
    <row r="11" spans="1:8" ht="30" customHeight="1">
      <c r="A11" s="53"/>
      <c r="B11" s="14" t="s">
        <v>52</v>
      </c>
      <c r="C11" s="85">
        <f>C4+C7</f>
        <v>16742</v>
      </c>
    </row>
    <row r="12" spans="1:8" ht="30" customHeight="1">
      <c r="A12" s="55"/>
      <c r="B12" s="11" t="s">
        <v>53</v>
      </c>
      <c r="C12" s="37">
        <f>C11*12</f>
        <v>200904</v>
      </c>
    </row>
    <row r="13" spans="1:8" ht="30" customHeight="1">
      <c r="A13" s="109" t="s">
        <v>6</v>
      </c>
      <c r="B13" s="109"/>
      <c r="C13" s="109"/>
    </row>
    <row r="14" spans="1:8" ht="30" customHeight="1">
      <c r="A14" s="56" t="s">
        <v>46</v>
      </c>
      <c r="B14" s="86">
        <f>B5+B8</f>
        <v>0.30979999999999996</v>
      </c>
      <c r="C14" s="89">
        <f>C5+C8</f>
        <v>4332</v>
      </c>
    </row>
    <row r="15" spans="1:8" ht="30" customHeight="1">
      <c r="A15" s="59" t="s">
        <v>54</v>
      </c>
      <c r="B15" s="87">
        <f>B6</f>
        <v>2.4500000000000001E-2</v>
      </c>
      <c r="C15" s="90">
        <f>C6</f>
        <v>343</v>
      </c>
    </row>
    <row r="16" spans="1:8" ht="30" customHeight="1">
      <c r="A16" s="62" t="s">
        <v>47</v>
      </c>
      <c r="B16" s="86">
        <v>0.09</v>
      </c>
      <c r="C16" s="89">
        <f>C9</f>
        <v>1086</v>
      </c>
    </row>
    <row r="17" spans="1:3" ht="30" customHeight="1">
      <c r="A17" s="63" t="s">
        <v>48</v>
      </c>
      <c r="B17" s="88"/>
      <c r="C17" s="90">
        <f>ROUND(C10*48.8%,0)</f>
        <v>571</v>
      </c>
    </row>
    <row r="18" spans="1:3" ht="30" customHeight="1">
      <c r="A18" s="3" t="s">
        <v>49</v>
      </c>
      <c r="B18" s="2"/>
      <c r="C18" s="38">
        <f>C10-C17</f>
        <v>600</v>
      </c>
    </row>
  </sheetData>
  <mergeCells count="1">
    <mergeCell ref="A13:C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3"/>
  <sheetViews>
    <sheetView topLeftCell="A10" workbookViewId="0">
      <selection activeCell="F16" sqref="F16"/>
    </sheetView>
  </sheetViews>
  <sheetFormatPr defaultRowHeight="14.4"/>
  <cols>
    <col min="1" max="1" width="63.6640625" customWidth="1"/>
    <col min="2" max="2" width="36.44140625" customWidth="1"/>
    <col min="3" max="3" width="16.6640625" customWidth="1"/>
    <col min="6" max="6" width="16.6640625" customWidth="1"/>
  </cols>
  <sheetData>
    <row r="1" spans="1:8">
      <c r="A1" s="12" t="s">
        <v>69</v>
      </c>
    </row>
    <row r="2" spans="1:8">
      <c r="A2" s="27" t="s">
        <v>70</v>
      </c>
      <c r="B2" s="27" t="s">
        <v>34</v>
      </c>
      <c r="C2" s="28" t="s">
        <v>65</v>
      </c>
    </row>
    <row r="3" spans="1:8">
      <c r="A3" s="13" t="s">
        <v>36</v>
      </c>
      <c r="B3" s="15"/>
      <c r="C3" s="16">
        <f>C4-C18</f>
        <v>2588</v>
      </c>
      <c r="E3" s="68"/>
      <c r="F3" s="68"/>
    </row>
    <row r="4" spans="1:8" ht="43.2">
      <c r="A4" s="17" t="s">
        <v>37</v>
      </c>
      <c r="B4" s="17" t="s">
        <v>74</v>
      </c>
      <c r="C4" s="18">
        <v>3750</v>
      </c>
    </row>
    <row r="5" spans="1:8" ht="28.8">
      <c r="A5" s="19" t="s">
        <v>38</v>
      </c>
      <c r="B5" s="20">
        <v>0.17269999999999999</v>
      </c>
      <c r="C5" s="16">
        <f>ROUND($C$4*B5,0)</f>
        <v>648</v>
      </c>
    </row>
    <row r="6" spans="1:8">
      <c r="A6" s="17" t="s">
        <v>39</v>
      </c>
      <c r="B6" s="21">
        <v>2.4500000000000001E-2</v>
      </c>
      <c r="C6" s="18">
        <f>ROUND($C$4*B6,0)</f>
        <v>92</v>
      </c>
    </row>
    <row r="7" spans="1:8" s="91" customFormat="1">
      <c r="A7" s="17" t="s">
        <v>66</v>
      </c>
      <c r="B7" s="21">
        <v>1.4999999999999999E-2</v>
      </c>
      <c r="C7" s="18">
        <f>ROUND($C$4*B7,0)</f>
        <v>56</v>
      </c>
    </row>
    <row r="8" spans="1:8">
      <c r="A8" s="13" t="s">
        <v>40</v>
      </c>
      <c r="B8" s="22"/>
      <c r="C8" s="34">
        <f>SUM(C5:C7)</f>
        <v>796</v>
      </c>
    </row>
    <row r="9" spans="1:8">
      <c r="A9" s="23" t="s">
        <v>41</v>
      </c>
      <c r="B9" s="24">
        <f>9.76%+1.5%+2.45%</f>
        <v>0.1371</v>
      </c>
      <c r="C9" s="35">
        <f>ROUND($C$4*B9,0)</f>
        <v>514</v>
      </c>
      <c r="F9" s="67"/>
      <c r="H9" s="67"/>
    </row>
    <row r="10" spans="1:8" s="91" customFormat="1">
      <c r="A10" s="17" t="s">
        <v>66</v>
      </c>
      <c r="B10" s="24">
        <v>0.02</v>
      </c>
      <c r="C10" s="35">
        <f>ROUND($C$4*B10,0)</f>
        <v>75</v>
      </c>
      <c r="F10" s="92"/>
      <c r="H10" s="92"/>
    </row>
    <row r="11" spans="1:8">
      <c r="A11" s="19" t="s">
        <v>42</v>
      </c>
      <c r="B11" s="20">
        <v>0.09</v>
      </c>
      <c r="C11" s="16">
        <f>ROUND((C4-C9)*B11,0)</f>
        <v>291</v>
      </c>
    </row>
    <row r="12" spans="1:8">
      <c r="A12" s="25" t="s">
        <v>43</v>
      </c>
      <c r="B12" s="26"/>
      <c r="C12" s="36">
        <f>ROUND(ROUND((C4-111.25-C9),0)*18/100-46.33-ROUND((C4-C9)*7.75/100,2),0)</f>
        <v>265</v>
      </c>
    </row>
    <row r="13" spans="1:8">
      <c r="A13" s="53"/>
      <c r="B13" s="14" t="s">
        <v>52</v>
      </c>
      <c r="C13" s="31">
        <f>C4+C8</f>
        <v>4546</v>
      </c>
      <c r="F13" s="93"/>
    </row>
    <row r="14" spans="1:8" s="91" customFormat="1">
      <c r="A14" s="94"/>
      <c r="B14" s="14" t="s">
        <v>67</v>
      </c>
      <c r="C14" s="95">
        <f>+C13</f>
        <v>4546</v>
      </c>
    </row>
    <row r="15" spans="1:8" s="91" customFormat="1">
      <c r="A15" s="94"/>
      <c r="B15" s="14" t="s">
        <v>68</v>
      </c>
      <c r="C15" s="95">
        <v>5008.97</v>
      </c>
    </row>
    <row r="16" spans="1:8" ht="28.8">
      <c r="A16" s="55"/>
      <c r="B16" s="11" t="s">
        <v>53</v>
      </c>
      <c r="C16" s="37">
        <f>C13*12+C14+C15</f>
        <v>64106.97</v>
      </c>
    </row>
    <row r="17" spans="1:3">
      <c r="A17" s="109" t="s">
        <v>6</v>
      </c>
      <c r="B17" s="109"/>
      <c r="C17" s="109"/>
    </row>
    <row r="18" spans="1:3">
      <c r="A18" s="56" t="s">
        <v>46</v>
      </c>
      <c r="B18" s="57">
        <f>B5+B9</f>
        <v>0.30979999999999996</v>
      </c>
      <c r="C18" s="58">
        <f>C5+C9</f>
        <v>1162</v>
      </c>
    </row>
    <row r="19" spans="1:3">
      <c r="A19" s="59" t="s">
        <v>54</v>
      </c>
      <c r="B19" s="60">
        <f>B6</f>
        <v>2.4500000000000001E-2</v>
      </c>
      <c r="C19" s="61">
        <f>C6</f>
        <v>92</v>
      </c>
    </row>
    <row r="20" spans="1:3">
      <c r="A20" s="62" t="s">
        <v>47</v>
      </c>
      <c r="B20" s="57">
        <v>0.09</v>
      </c>
      <c r="C20" s="58">
        <f>C11</f>
        <v>291</v>
      </c>
    </row>
    <row r="21" spans="1:3" s="91" customFormat="1">
      <c r="A21" s="17" t="s">
        <v>66</v>
      </c>
      <c r="B21" s="96">
        <v>3.5000000000000003E-2</v>
      </c>
      <c r="C21" s="97">
        <f>+C7+C10</f>
        <v>131</v>
      </c>
    </row>
    <row r="22" spans="1:3" ht="28.8">
      <c r="A22" s="63" t="s">
        <v>48</v>
      </c>
      <c r="B22" s="64"/>
      <c r="C22" s="65">
        <f>ROUND(C10*48.8%,0)</f>
        <v>37</v>
      </c>
    </row>
    <row r="23" spans="1:3" ht="28.8">
      <c r="A23" s="3" t="s">
        <v>49</v>
      </c>
      <c r="B23" s="2"/>
      <c r="C23" s="38">
        <f>C12-C22</f>
        <v>228</v>
      </c>
    </row>
  </sheetData>
  <mergeCells count="1">
    <mergeCell ref="A17:C17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"/>
  <sheetViews>
    <sheetView tabSelected="1" workbookViewId="0">
      <selection activeCell="M4" sqref="M4"/>
    </sheetView>
  </sheetViews>
  <sheetFormatPr defaultRowHeight="14.4"/>
  <cols>
    <col min="1" max="1" width="20.88671875" customWidth="1"/>
    <col min="2" max="4" width="12.5546875" customWidth="1"/>
    <col min="5" max="5" width="18.44140625" customWidth="1"/>
    <col min="6" max="6" width="20.44140625" customWidth="1"/>
    <col min="7" max="7" width="18.109375" customWidth="1"/>
    <col min="8" max="8" width="16.88671875" customWidth="1"/>
    <col min="9" max="9" width="16.44140625" customWidth="1"/>
    <col min="12" max="12" width="17.6640625" customWidth="1"/>
  </cols>
  <sheetData>
    <row r="1" spans="1:13" ht="96.6" customHeight="1" thickBot="1">
      <c r="A1" s="72" t="s">
        <v>23</v>
      </c>
      <c r="B1" s="101" t="s">
        <v>25</v>
      </c>
      <c r="C1" s="101" t="s">
        <v>26</v>
      </c>
      <c r="D1" s="73" t="s">
        <v>30</v>
      </c>
      <c r="E1" s="73" t="s">
        <v>55</v>
      </c>
      <c r="F1" s="73" t="s">
        <v>27</v>
      </c>
      <c r="G1" s="73" t="s">
        <v>29</v>
      </c>
      <c r="H1" s="73" t="s">
        <v>31</v>
      </c>
      <c r="I1" s="73" t="s">
        <v>28</v>
      </c>
    </row>
    <row r="2" spans="1:13" ht="72.599999999999994" thickBot="1">
      <c r="A2" s="74" t="s">
        <v>56</v>
      </c>
      <c r="B2" s="102">
        <v>102</v>
      </c>
      <c r="C2" s="102">
        <f>B2/2</f>
        <v>51</v>
      </c>
      <c r="D2" s="71">
        <v>50000</v>
      </c>
      <c r="E2" s="71">
        <f>C2*D2</f>
        <v>2550000</v>
      </c>
      <c r="F2" s="75">
        <f>E2*L4</f>
        <v>11730000</v>
      </c>
      <c r="G2" s="71">
        <f>D2*3</f>
        <v>150000</v>
      </c>
      <c r="H2" s="76">
        <f>C2*G2</f>
        <v>7650000</v>
      </c>
      <c r="I2" s="77">
        <f>H2*$L$4</f>
        <v>35190000</v>
      </c>
      <c r="L2" s="12" t="s">
        <v>21</v>
      </c>
    </row>
    <row r="3" spans="1:13" ht="15" thickBot="1">
      <c r="A3" s="74" t="s">
        <v>57</v>
      </c>
      <c r="B3" s="102">
        <v>8</v>
      </c>
      <c r="C3" s="102">
        <f>B3/2</f>
        <v>4</v>
      </c>
      <c r="D3" s="71">
        <v>30000</v>
      </c>
      <c r="E3" s="71">
        <f>C3*D3</f>
        <v>120000</v>
      </c>
      <c r="F3" s="75">
        <f>E3*$L$4</f>
        <v>552000</v>
      </c>
      <c r="G3" s="71">
        <f>D3*3</f>
        <v>90000</v>
      </c>
      <c r="H3" s="76">
        <f>C3*G3</f>
        <v>360000</v>
      </c>
      <c r="I3" s="77">
        <f>H3*$L$4</f>
        <v>1655999.9999999998</v>
      </c>
      <c r="L3" s="51">
        <v>1</v>
      </c>
      <c r="M3" t="s">
        <v>58</v>
      </c>
    </row>
    <row r="4" spans="1:13" ht="15" thickBot="1">
      <c r="A4" s="74" t="s">
        <v>5</v>
      </c>
      <c r="B4" s="102">
        <f>SUM(B2:B3)</f>
        <v>110</v>
      </c>
      <c r="C4" s="102">
        <f>SUM(C2:C3)</f>
        <v>55</v>
      </c>
      <c r="D4" s="75" t="s">
        <v>24</v>
      </c>
      <c r="E4" s="71">
        <f>SUM(E2:E3)</f>
        <v>2670000</v>
      </c>
      <c r="F4" s="70">
        <f>SUM(F2:F3)</f>
        <v>12282000</v>
      </c>
      <c r="G4" s="71"/>
      <c r="H4" s="76">
        <f>SUM(H2:H3)</f>
        <v>8010000</v>
      </c>
      <c r="I4" s="69">
        <f>SUM(I2:I3)</f>
        <v>36846000</v>
      </c>
      <c r="L4" s="51">
        <v>4.5999999999999996</v>
      </c>
      <c r="M4" t="s">
        <v>22</v>
      </c>
    </row>
    <row r="5" spans="1:13">
      <c r="F5" s="52"/>
      <c r="G5" s="52"/>
      <c r="H5" s="51"/>
      <c r="I5" s="5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OSR</vt:lpstr>
      <vt:lpstr>etaty UM</vt:lpstr>
      <vt:lpstr>etat MI</vt:lpstr>
      <vt:lpstr>etat PCA</vt:lpstr>
      <vt:lpstr>kary FuelEU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Knobloch-Sieradzka</dc:creator>
  <cp:lastModifiedBy>Stępniewski Juliusz</cp:lastModifiedBy>
  <cp:lastPrinted>2017-12-04T09:58:05Z</cp:lastPrinted>
  <dcterms:created xsi:type="dcterms:W3CDTF">2017-02-20T10:06:38Z</dcterms:created>
  <dcterms:modified xsi:type="dcterms:W3CDTF">2025-03-27T09:50:47Z</dcterms:modified>
</cp:coreProperties>
</file>